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32" activeTab="32"/>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ФХД'!$R$72</definedName>
    <definedName name="B_FHD_CHECK_INDEX_2">'Показатели ФХД'!$R$74</definedName>
    <definedName name="B_FHD_COSTS_INDEX_1">'Показатели ФХД'!$H$71:$P$71</definedName>
    <definedName name="B_FHD_COSTS_INDEX_2">'Показатели ФХД'!$H$73:$P$73</definedName>
    <definedName name="B_FHD_DATA_TOP80_ACTIVITY">'Показатели ФХД'!$H$94:$P$94</definedName>
    <definedName name="B_FHD_diff_1">'Показатели ФХД'!$I$25:$I$27</definedName>
    <definedName name="B_FHD_FLAG_DIFFERENTIATION">'Показатели ФХД'!$H$24:$P$24</definedName>
    <definedName name="B_FHD_FLAG_INDEX_1">'Показатели ФХД'!$H$72:$P$72</definedName>
    <definedName name="B_FHD_FLAG_INDEX_2">'Показатели ФХД'!$H$74:$P$74</definedName>
    <definedName name="B_FHD_TKO_DATA_TOP80_ACTIVITY">'ТКО. Показатели ФХД'!$H$43:$P$43</definedName>
    <definedName name="B_FHD_TKO_diff_1">'ТКО. Показатели ФХД'!$I$10:$I$12</definedName>
    <definedName name="B_FHD_TKO_FLAG_DIFFERENTIATION">'ТКО. Показатели ФХД'!$H$9:$P$9</definedName>
    <definedName name="B_FHD_TKO_TRANS_DATA_TOP80_ACTIVITY">'ТКО. Транс. Показатели ФХД'!$H$35:$P$35</definedName>
    <definedName name="B_FHD_TKO_TRANS_diff_1">'ТКО. Транс. Показатели ФХД'!$I$10:$I$12</definedName>
    <definedName name="B_FHD_TKO_TRANS_FLAG_DIFFERENTIATION">'ТКО. Транс. Показатели ФХД'!$H$9:$P$9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ОТЭП'!$L$9:$U$9</definedName>
    <definedName name="B_OTEP_HEAT_DATA_TOP80_ACTIVITY">'Показатели ОТЭП'!$L$15:$U$15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ФХД'!$95:$103</definedName>
    <definedName name="BLOCK_POK_FHD_COLDVSNA_P2">'Показатели ФХД'!$240:$244</definedName>
    <definedName name="BLOCK_POK_FHD_HEAT_ONLY_REG_ORG_P1">'Показатели ФХД'!$62:$63</definedName>
    <definedName name="BLOCK_POK_FHD_HEAT_ONLY_REG_ORG_P2">'Показатели ФХД'!$93:$476</definedName>
    <definedName name="BLOCK_POK_FHD_HEAT_P1">'Показатели ФХД'!$33:$46</definedName>
    <definedName name="BLOCK_POK_FHD_HEAT_P2">'Показатели ФХД'!$85:$85</definedName>
    <definedName name="BLOCK_POK_FHD_HEAT_P3">'Показатели ФХД'!$112:$236</definedName>
    <definedName name="BLOCK_POK_FHD_HEAT_P4">'Показатели ФХД'!$238:$238</definedName>
    <definedName name="BLOCK_POK_FHD_HEAT_P5">'Показатели ФХД'!$245:$475</definedName>
    <definedName name="BLOCK_POK_FHD_HEAT_P6">'Показатели ФХД'!$53:$53</definedName>
    <definedName name="BLOCK_POK_FHD_HOTVSNA_P1">'Показатели ФХД'!$47:$49</definedName>
    <definedName name="BLOCK_POK_FHD_HOTVSNA_P2">'Показатели ФХД'!$104:$108</definedName>
    <definedName name="BLOCK_POK_FHD_NOT_HEAT_P1">'Показатели ФХД'!$73:$74</definedName>
    <definedName name="BLOCK_POK_FHD_NOT_HEAT_P2">'Показатели ФХД'!$93:$93</definedName>
    <definedName name="BLOCK_POK_FHD_NOT_HOTVSNA">'Показатели ФХД'!$54:$54</definedName>
    <definedName name="BLOCK_POK_FHD_VOTV_P1">'Показатели ФХД'!$109:$111</definedName>
    <definedName name="BLOCK_POK_FHD_VSNA">'Показатели ФХД'!$239:$239</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Дифференциация!$I$12:$I$32</definedName>
    <definedName name="DIFFERENTIATION_AREA_ID">Дифференциация!$U$11:$U$33</definedName>
    <definedName name="DIFFERENTIATION_CheckC">Дифференциация!$D$12:$M$32</definedName>
    <definedName name="DIFFERENTIATION_fieldMarker">Дифференциация!$W$12:$W$32</definedName>
    <definedName name="DIFFERENTIATION_ID">TEHSHEET!$E$57</definedName>
    <definedName name="DIFFERENTIATION_ID_DIFF">Дифференциация!$O$12:$O$32</definedName>
    <definedName name="DIFFERENTIATION_SYSTEM">Дифференциация!$M$12:$M$32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Дифференциация!$Q$12:$Q$32</definedName>
    <definedName name="DIFFERENTIATION_UNMERGE_SYSTEM">Дифференциация!$R$12:$R$32</definedName>
    <definedName name="DIFFERENTIATION_UNMERGE_VD">Дифференциация!$P$12:$P$32</definedName>
    <definedName name="DIFFERENTIATION_VD">Дифференциация!$E$12:$E$32</definedName>
    <definedName name="DIFFERENTIATION_VD_ID">Дифференциация!$V$11:$V$33</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Ограничения!$F$36:$W$36</definedName>
    <definedName name="flag_Q_LIMIT_p4">Ограничения!$F$38:$W$38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Детализация'!$A$313:$A$313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Комментарии!$C$11:$C$18</definedName>
    <definedName name="pDel_DIFFERENTIATION_AREA">Дифференциация!$G$12:$G$32</definedName>
    <definedName name="pDel_DIFFERENTIATION_SYSTEM">Дифференциация!$K$12:$K$32</definedName>
    <definedName name="pDel_DIFFERENTIATION_VD">Дифференциация!$C$12:$C$32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ФХД'!$F$84</definedName>
    <definedName name="pIns_B_FHD_3">'Показатели ФХД'!$F$226</definedName>
    <definedName name="pIns_B_FHD_4">'Показатели ФХД'!$F$244</definedName>
    <definedName name="pIns_B_FHD_5">'Показатели ФХД'!$F$355</definedName>
    <definedName name="pIns_B_FHD_6">'Показатели ФХД'!$F$470</definedName>
    <definedName name="pIns_B_FHD_DIFFERENTIATION">'Показатели ФХД'!$P$24</definedName>
    <definedName name="pIns_B_FHD_TKO_2">'ТКО. Показатели ФХД'!$F$34</definedName>
    <definedName name="pIns_B_FHD_TKO_DIFFERENTIATION">'ТКО. Показатели ФХД'!$P$9</definedName>
    <definedName name="pIns_B_FHD_TKO_TRANS_2">'ТКО. Транс. Показатели ФХД'!$F$29</definedName>
    <definedName name="pIns_B_FHD_TKO_TRANS_DIFFERENTIATION">'ТКО. Транс. Показатели ФХД'!$P$9</definedName>
    <definedName name="pIns_B_FHD20_DIFFERENTIATION">'Показатели ФХД &gt;20%'!$D$77</definedName>
    <definedName name="pIns_B_KNE_DIFFERENTIATION">'Показатели КНЭ'!$W$6</definedName>
    <definedName name="pIns_B_OTEP_2">'Показатели ОТЭП'!$J$18</definedName>
    <definedName name="pIns_B_OTEP_DIFFERENTIATION">'Показатели ОТЭП'!$T$9</definedName>
    <definedName name="pIns_B_STANDARTS">'Стандарты качества'!$J$13</definedName>
    <definedName name="pIns_CHANGE_INFO">'Сведения об изменении'!$E$13</definedName>
    <definedName name="pIns_Comm">Комментарии!$E$18</definedName>
    <definedName name="pIns_ED">ЭД!$E$13</definedName>
    <definedName name="pIns_IP_DETAILED">'ИП. Детализация'!$F$313</definedName>
    <definedName name="pIns_IP_FIN_PLAN">'ИП. Финансовый план'!$AX$8</definedName>
    <definedName name="pIns_IP_MAIN">ИП!$G$17</definedName>
    <definedName name="pIns_IP_QRE">'ИП. КНЭ'!$F$27</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Ограничения!$W$25</definedName>
    <definedName name="pIns_Q_PH_DIFFERENTIATION">'Потребительские характеристики'!$W$8</definedName>
    <definedName name="pIns_Q_TP_1">ТП!$E$22</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Ограничения!$E$32:$W$39</definedName>
    <definedName name="Q_LIMIT_diff_1">Ограничения!$I$26:$J$28</definedName>
    <definedName name="Q_LIMIT_p3">Ограничения!$F$36:$W$37</definedName>
    <definedName name="Q_LIMIT_p4">Ограничения!$F$38:$W$39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ФХД'!$P$476</definedName>
    <definedName name="tblEnd_1_B_FHD_TKO">'ТКО. Показатели ФХД'!$P$47</definedName>
    <definedName name="tblEnd_1_B_FHD_TKO_TRANS">'ТКО. Транс. Показатели ФХД'!$P$38</definedName>
    <definedName name="tblEnd_1_B_KNE">'Показатели КНЭ'!$J$101</definedName>
    <definedName name="tblEnd_1_B_OTEP">'Показатели ОТЭП'!$T$34</definedName>
    <definedName name="tblEnd_1_B_STANDARTS">'Стандарты качества'!$L$13</definedName>
    <definedName name="tblEnd_1_CHANGE_INFO">'Сведения об изменении'!$E$14</definedName>
    <definedName name="tblEnd_1_DIFFERENTIATION">Дифференциация!$M$33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Детализация'!$AH$313</definedName>
    <definedName name="tblEnd_1_IP_FIN_PLAN">'ИП. Финансовый план'!$AX$58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Ограничения!$W$40</definedName>
    <definedName name="tblEnd_1_Q_PH">'Потребительские характеристики'!$W$21</definedName>
    <definedName name="tblEnd_1_Q_TP">ТП!$O$23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Дифференциация!$F$12:$F$32</definedName>
    <definedName name="Y_N_DIFFERENTIATION_SYSTEM">Дифференциация!$J$12:$J$32</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Q_PH_diff_51">'Потребительские характеристики'!$K$9:$L$11</definedName>
    <definedName name="Q_TP_diff_51">ТП!$I$9:$I$11</definedName>
    <definedName name="Q_Limit_diff_51">Ограничения!$K$26:$L$28</definedName>
    <definedName name="B_FHD_diff_51">'Показатели ФХД'!$J$25:$J$27</definedName>
    <definedName name="B_OTEP_diff_51">'Показатели ОТЭП'!$N$10:$N$12</definedName>
    <definedName name="B_FHD20_diff_51">'Показатели ФХД &gt;20%'!$H$23:$R$25</definedName>
    <definedName name="B_KNE_diff_51">'Показатели КНЭ'!$K$7:$L$9</definedName>
    <definedName name="B_FHD_TKO_diff_51">'ТКО. Показатели ФХД'!$J$10:$J$12</definedName>
    <definedName name="B_FHD_TKO_TRANS_diff_51">'ТКО. Транс. Показатели ФХД'!$J$10:$J$12</definedName>
    <definedName name="Q_PH_diff_511">'Потребительские характеристики'!$M$9:$N$11</definedName>
    <definedName name="Q_TP_diff_511">ТП!$J$9:$J$11</definedName>
    <definedName name="Q_Limit_diff_511">Ограничения!$M$26:$N$28</definedName>
    <definedName name="B_FHD_diff_511">'Показатели ФХД'!$K$25:$K$27</definedName>
    <definedName name="B_OTEP_diff_511">'Показатели ОТЭП'!$O$10:$O$12</definedName>
    <definedName name="B_FHD20_diff_511">'Показатели ФХД &gt;20%'!$H$32:$R$34</definedName>
    <definedName name="B_KNE_diff_511">'Показатели КНЭ'!$M$7:$N$9</definedName>
    <definedName name="B_FHD_TKO_diff_511">'ТКО. Показатели ФХД'!$K$10:$K$12</definedName>
    <definedName name="B_FHD_TKO_TRANS_diff_511">'ТКО. Транс. Показатели ФХД'!$K$10:$K$12</definedName>
    <definedName name="Q_PH_diff_5111">'Потребительские характеристики'!$O$9:$P$11</definedName>
    <definedName name="Q_TP_diff_5111">ТП!$K$9:$K$11</definedName>
    <definedName name="Q_Limit_diff_5111">Ограничения!$O$26:$P$28</definedName>
    <definedName name="B_FHD_diff_5111">'Показатели ФХД'!$L$25:$L$27</definedName>
    <definedName name="B_OTEP_diff_5111">'Показатели ОТЭП'!$P$10:$P$12</definedName>
    <definedName name="B_FHD20_diff_5111">'Показатели ФХД &gt;20%'!$H$41:$R$43</definedName>
    <definedName name="B_KNE_diff_5111">'Показатели КНЭ'!$O$7:$P$9</definedName>
    <definedName name="B_FHD_TKO_diff_5111">'ТКО. Показатели ФХД'!$L$10:$L$12</definedName>
    <definedName name="B_FHD_TKO_TRANS_diff_5111">'ТКО. Транс. Показатели ФХД'!$L$10:$L$12</definedName>
    <definedName name="Q_PH_diff_51111">'Потребительские характеристики'!$Q$9:$R$11</definedName>
    <definedName name="Q_TP_diff_51111">ТП!$L$9:$L$11</definedName>
    <definedName name="Q_Limit_diff_51111">Ограничения!$Q$26:$R$28</definedName>
    <definedName name="B_FHD_diff_51111">'Показатели ФХД'!$M$25:$M$27</definedName>
    <definedName name="B_OTEP_diff_51111">'Показатели ОТЭП'!$Q$10:$Q$12</definedName>
    <definedName name="B_FHD20_diff_51111">'Показатели ФХД &gt;20%'!$H$50:$R$52</definedName>
    <definedName name="B_KNE_diff_51111">'Показатели КНЭ'!$Q$7:$R$9</definedName>
    <definedName name="B_FHD_TKO_diff_51111">'ТКО. Показатели ФХД'!$M$10:$M$12</definedName>
    <definedName name="B_FHD_TKO_TRANS_diff_51111">'ТКО. Транс. Показатели ФХД'!$M$10:$M$12</definedName>
    <definedName name="Q_PH_diff_511111">'Потребительские характеристики'!$S$9:$T$11</definedName>
    <definedName name="Q_TP_diff_511111">ТП!$M$9:$M$11</definedName>
    <definedName name="Q_Limit_diff_511111">Ограничения!$S$26:$T$28</definedName>
    <definedName name="B_FHD_diff_511111">'Показатели ФХД'!$N$25:$N$27</definedName>
    <definedName name="B_OTEP_diff_511111">'Показатели ОТЭП'!$R$10:$R$12</definedName>
    <definedName name="B_FHD20_diff_511111">'Показатели ФХД &gt;20%'!$H$59:$R$61</definedName>
    <definedName name="B_KNE_diff_511111">'Показатели КНЭ'!$S$7:$T$9</definedName>
    <definedName name="B_FHD_TKO_diff_511111">'ТКО. Показатели ФХД'!$N$10:$N$12</definedName>
    <definedName name="B_FHD_TKO_TRANS_diff_511111">'ТКО. Транс. Показатели ФХД'!$N$10:$N$12</definedName>
    <definedName name="Q_PH_diff_5111111">'Потребительские характеристики'!$U$9:$V$11</definedName>
    <definedName name="Q_TP_diff_5111111">ТП!$N$9:$N$11</definedName>
    <definedName name="Q_Limit_diff_5111111">Ограничения!$U$26:$V$28</definedName>
    <definedName name="B_FHD_diff_5111111">'Показатели ФХД'!$O$25:$O$27</definedName>
    <definedName name="B_OTEP_diff_5111111">'Показатели ОТЭП'!$S$10:$S$12</definedName>
    <definedName name="B_FHD20_diff_5111111">'Показатели ФХД &gt;20%'!$H$68:$R$70</definedName>
    <definedName name="B_KNE_diff_5111111">'Показатели КНЭ'!$U$7:$V$9</definedName>
    <definedName name="B_FHD_TKO_diff_5111111">'ТКО. Показатели ФХД'!$O$10:$O$12</definedName>
    <definedName name="B_FHD_TKO_TRANS_diff_5111111">'ТКО. Транс. Показатели ФХД'!$O$10:$O$12</definedName>
    <definedName name="DESCRIPTION_TERRITORY">REESTR_DS!$B$2:$B$4</definedName>
    <definedName name="REESTR_IP_RANGE">REESTR_IP!$A$2:$I$5</definedName>
    <definedName name="IP_MAIN_ip_5">ИП!$13:$14</definedName>
    <definedName name="IP_QRE_ip_5">'ИП. КНЭ'!$21:$23</definedName>
    <definedName name="IP_DETAILED_ip_5">'ИП. Детализация'!$14:$227</definedName>
    <definedName name="IP_FIN_PLAN_ip_5">'ИП. Финансовый план'!$K$11:$AK$11</definedName>
    <definedName name="IP_MAIN_ip_51">ИП!$15:$16</definedName>
    <definedName name="IP_QRE_ip_51">'ИП. КНЭ'!$24:$26</definedName>
    <definedName name="IP_DETAILED_ip_51">'ИП. Детализация'!$228:$312</definedName>
    <definedName name="IP_FIN_PLAN_ip_51">'ИП. Финансовый план'!$AL$11:$AW$11</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<sst xmlns="http://schemas.openxmlformats.org/spreadsheetml/2006/main" count="22500" uniqueCount="4787">
  <si>
    <t xml:space="preserve"> (требуется обновление)</t>
  </si>
  <si>
    <t>Код отчёта: PP110.OPEN.INFO.BALANCE.HEAT.EIAS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</si>
  <si>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</si>
  <si>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</si>
  <si>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</si>
  <si>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</si>
  <si>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</si>
  <si>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</si>
  <si>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</si>
  <si>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</si>
  <si>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</si>
  <si>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</si>
  <si>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</si>
  <si>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</si>
  <si>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</si>
  <si>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</si>
  <si>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</si>
  <si>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</si>
  <si>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</si>
  <si>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</si>
  <si>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</si>
  <si>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</si>
  <si>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</si>
  <si>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</si>
  <si>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</si>
  <si>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</si>
  <si>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</si>
  <si>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</si>
  <si>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</si>
  <si>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</si>
  <si>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</si>
  <si>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</si>
  <si>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</si>
  <si>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</si>
  <si>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</si>
  <si>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</si>
  <si>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</si>
  <si>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</si>
  <si>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</si>
  <si>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</si>
  <si>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</si>
  <si>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</si>
  <si>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</si>
  <si>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</si>
  <si>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</si>
  <si>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</si>
  <si>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</si>
  <si>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</si>
  <si>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</si>
  <si>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</si>
  <si>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</si>
  <si>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</si>
  <si>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</si>
  <si>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</si>
  <si>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</si>
  <si>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</si>
  <si>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</si>
  <si>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</si>
  <si>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</si>
  <si>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</si>
  <si>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</si>
  <si>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</si>
  <si>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</si>
  <si>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</si>
  <si>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</si>
  <si>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</si>
  <si>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</si>
  <si>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</si>
  <si>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</si>
  <si>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</si>
  <si>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Мира,14</t>
  </si>
  <si>
    <t>Фамилия, имя, отчество руководителя</t>
  </si>
  <si>
    <t>Халтурин Илья Вячеславович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</si>
  <si>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</si>
  <si>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</si>
  <si>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</si>
  <si>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</si>
  <si>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</si>
  <si>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</si>
  <si>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</si>
  <si>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</si>
  <si>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</si>
  <si>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</si>
  <si>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</si>
  <si>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</si>
  <si>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</si>
  <si>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</si>
  <si>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</si>
  <si>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</si>
  <si>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</si>
  <si>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</si>
  <si>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</si>
  <si>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</si>
  <si>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</si>
  <si>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</si>
  <si>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</si>
  <si>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</si>
  <si>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</si>
  <si>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</si>
  <si>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</si>
  <si>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</si>
  <si>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</si>
  <si>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</si>
  <si>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</si>
  <si>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</si>
  <si>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</si>
  <si>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43</t>
  </si>
  <si>
    <t>город Арзамас</t>
  </si>
  <si>
    <t>22703000</t>
  </si>
  <si>
    <t>ter_51</t>
  </si>
  <si>
    <t>50</t>
  </si>
  <si>
    <t>город Чкаловск</t>
  </si>
  <si>
    <t>22755000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</si>
  <si>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</si>
  <si>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</si>
  <si>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</si>
  <si>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</si>
  <si>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</si>
  <si>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</si>
  <si>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</si>
  <si>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</si>
  <si>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</si>
  <si>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</si>
  <si>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</si>
  <si>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</si>
  <si>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</si>
  <si>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</si>
  <si>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 4190068; 4190070</t>
  </si>
  <si>
    <t>a</t>
  </si>
  <si>
    <t>Добавить централизованную систему</t>
  </si>
  <si>
    <t>diff_51</t>
  </si>
  <si>
    <t>Добавить описание территории</t>
  </si>
  <si>
    <t>diff_511</t>
  </si>
  <si>
    <t>4190064; 4190068</t>
  </si>
  <si>
    <t>diff_5111</t>
  </si>
  <si>
    <t>4190067</t>
  </si>
  <si>
    <t>diff_511111</t>
  </si>
  <si>
    <t>diff_51111</t>
  </si>
  <si>
    <t>4190072</t>
  </si>
  <si>
    <t>diff_5111111</t>
  </si>
  <si>
    <t>4190073</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</si>
  <si>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</si>
  <si>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</si>
  <si>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</si>
  <si>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</si>
  <si>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</si>
  <si>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</si>
  <si>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</si>
  <si>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</si>
  <si>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</si>
  <si>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</si>
  <si>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</si>
  <si>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</si>
  <si>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</si>
  <si>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</si>
  <si>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</si>
  <si>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</si>
  <si>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</si>
  <si>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</si>
  <si>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</si>
  <si>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</si>
  <si>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</si>
  <si>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</si>
  <si>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</si>
  <si>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</si>
  <si>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</si>
  <si>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</si>
  <si>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</si>
  <si>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</si>
  <si>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</si>
  <si>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</si>
  <si>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</si>
  <si>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</si>
  <si>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</si>
  <si>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</si>
  <si>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</si>
  <si>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</si>
  <si>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</si>
  <si>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</si>
  <si>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</si>
  <si>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</si>
  <si>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</si>
  <si>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</si>
  <si>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</si>
  <si>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</si>
  <si>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</si>
  <si>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</si>
  <si>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</si>
  <si>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</si>
  <si>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</si>
  <si>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</si>
  <si>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</si>
  <si>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</si>
  <si>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</si>
  <si>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</si>
  <si>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</si>
  <si>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</si>
  <si>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</si>
  <si>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</si>
  <si>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</si>
  <si>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</si>
  <si>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</si>
  <si>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</si>
  <si>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</si>
  <si>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</si>
  <si>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</si>
  <si>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</si>
  <si>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</si>
  <si>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</si>
  <si>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</si>
  <si>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</si>
  <si>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</si>
  <si>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</si>
  <si>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</si>
  <si>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</si>
  <si>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</si>
  <si>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</si>
  <si>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</si>
  <si>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</si>
  <si>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</si>
  <si>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</si>
  <si>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</si>
  <si>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</si>
  <si>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</si>
  <si>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</si>
  <si>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</si>
  <si>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</si>
  <si>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</si>
  <si>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</si>
  <si>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</si>
  <si>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</si>
  <si>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</si>
  <si>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</si>
  <si>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</si>
  <si>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</si>
  <si>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</si>
  <si>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</si>
  <si>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</si>
  <si>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</si>
  <si>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</si>
  <si>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</si>
  <si>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</si>
  <si>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</si>
  <si>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</si>
  <si>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</si>
  <si>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</si>
  <si>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</si>
  <si>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</si>
  <si>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</si>
  <si>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</si>
  <si>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</si>
  <si>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</si>
  <si>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</si>
  <si>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</si>
  <si>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</si>
  <si>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</si>
  <si>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</si>
  <si>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</si>
  <si>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</si>
  <si>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</si>
  <si>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</si>
  <si>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</si>
  <si>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</si>
  <si>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</si>
  <si>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</si>
  <si>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</si>
  <si>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</si>
  <si>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</si>
  <si>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</si>
  <si>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</si>
  <si>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</si>
  <si>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</si>
  <si>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</si>
  <si>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</si>
  <si>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</si>
  <si>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</si>
  <si>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</si>
  <si>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</si>
  <si>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</si>
  <si>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</si>
  <si>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</si>
  <si>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</si>
  <si>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</si>
  <si>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</si>
  <si>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</si>
  <si>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</si>
  <si>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</si>
  <si>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</si>
  <si>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</si>
  <si>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</si>
  <si>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</si>
  <si>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</si>
  <si>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</si>
  <si>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</si>
  <si>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</si>
  <si>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</si>
  <si>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</si>
  <si>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</si>
  <si>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</si>
  <si>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</si>
  <si>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</si>
  <si>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</si>
  <si>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</si>
  <si>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</si>
  <si>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</si>
  <si>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</si>
  <si>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</si>
  <si>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</si>
  <si>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</si>
  <si>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</si>
  <si>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</si>
  <si>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</si>
  <si>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</si>
  <si>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</si>
  <si>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</si>
  <si>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</si>
  <si>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</si>
  <si>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</si>
  <si>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</si>
  <si>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</si>
  <si>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</si>
  <si>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</si>
  <si>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</si>
  <si>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</si>
  <si>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</si>
  <si>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</si>
  <si>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</si>
  <si>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</si>
  <si>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</si>
  <si>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</si>
  <si>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</si>
  <si>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</si>
  <si>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</si>
  <si>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</si>
  <si>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</si>
  <si>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</si>
  <si>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</si>
  <si>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</si>
  <si>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</si>
  <si>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</si>
  <si>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</si>
  <si>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</si>
  <si>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</si>
  <si>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</si>
  <si>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</si>
  <si>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</si>
  <si>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</si>
  <si>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</si>
  <si>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</si>
  <si>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</si>
  <si>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</si>
  <si>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</si>
  <si>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</si>
  <si>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</si>
  <si>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</si>
  <si>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</si>
  <si>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</si>
  <si>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</si>
  <si>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</si>
  <si>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</si>
  <si>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</si>
  <si>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</si>
  <si>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</si>
  <si>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</si>
  <si>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</si>
  <si>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</si>
  <si>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</si>
  <si>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</si>
  <si>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</si>
  <si>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</si>
  <si>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</si>
  <si>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</si>
  <si>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</si>
  <si>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</si>
  <si>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</si>
  <si>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</si>
  <si>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</si>
  <si>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</si>
  <si>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</si>
  <si>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</si>
  <si>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</si>
  <si>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</si>
  <si>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</si>
  <si>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</si>
  <si>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</si>
  <si>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</si>
  <si>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</si>
  <si>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</si>
  <si>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</si>
  <si>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</si>
  <si>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</si>
  <si>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</si>
  <si>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</si>
  <si>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</si>
  <si>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</si>
  <si>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</si>
  <si>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</si>
  <si>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</si>
  <si>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</si>
  <si>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</si>
  <si>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</si>
  <si>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</si>
  <si>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</si>
  <si>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</si>
  <si>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</si>
  <si>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</si>
  <si>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</si>
  <si>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</si>
  <si>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</si>
  <si>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</si>
  <si>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</si>
  <si>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</si>
  <si>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</si>
  <si>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</si>
  <si>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</si>
  <si>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</si>
  <si>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</si>
  <si>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</si>
  <si>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</si>
  <si>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</si>
  <si>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</si>
  <si>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</si>
  <si>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</si>
  <si>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</si>
  <si>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</si>
  <si>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</si>
  <si>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</si>
  <si>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</si>
  <si>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</si>
  <si>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</si>
  <si>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</si>
  <si>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</si>
  <si>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</si>
  <si>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</si>
  <si>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</si>
  <si>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</si>
  <si>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</si>
  <si>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</si>
  <si>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</si>
  <si>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</si>
  <si>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</si>
  <si>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</si>
  <si>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</si>
  <si>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</si>
  <si>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</si>
  <si>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</si>
  <si>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</si>
  <si>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</si>
  <si>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</si>
  <si>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</si>
  <si>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</si>
  <si>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</si>
  <si>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</si>
  <si>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</si>
  <si>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</si>
  <si>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</si>
  <si>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</si>
  <si>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</si>
  <si>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</si>
  <si>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</si>
  <si>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</si>
  <si>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</si>
  <si>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</si>
  <si>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</si>
  <si>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</si>
  <si>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</si>
  <si>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</si>
  <si>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</si>
  <si>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</si>
  <si>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</si>
  <si>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</si>
  <si>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</si>
  <si>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</si>
  <si>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</si>
  <si>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</si>
  <si>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</si>
  <si>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</si>
  <si>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</si>
  <si>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</si>
  <si>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</si>
  <si>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</si>
  <si>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</si>
  <si>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</si>
  <si>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</si>
  <si>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</si>
  <si>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</si>
  <si>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</si>
  <si>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</si>
  <si>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</si>
  <si>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</si>
  <si>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</si>
  <si>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</si>
  <si>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</si>
  <si>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</si>
  <si>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</si>
  <si>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</si>
  <si>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</si>
  <si>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</si>
  <si>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</si>
  <si>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</si>
  <si>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</si>
  <si>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</si>
  <si>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</si>
  <si>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</si>
  <si>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</si>
  <si>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</si>
  <si>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</si>
  <si>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</si>
  <si>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</si>
  <si>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</si>
  <si>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</si>
  <si>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</si>
  <si>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</si>
  <si>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</si>
  <si>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</si>
  <si>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</si>
  <si>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</si>
  <si>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</si>
  <si>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</si>
  <si>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</si>
  <si>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</si>
  <si>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</si>
  <si>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</si>
  <si>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</si>
  <si>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</si>
  <si>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</si>
  <si>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</si>
  <si>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</si>
  <si>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</si>
  <si>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</si>
  <si>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</si>
  <si>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</si>
  <si>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</si>
  <si>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</si>
  <si>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</si>
  <si>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</si>
  <si>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</si>
  <si>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</si>
  <si>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</si>
  <si>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</si>
  <si>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</si>
  <si>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</si>
  <si>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</si>
  <si>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</si>
  <si>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</si>
  <si>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</si>
  <si>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</si>
  <si>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</si>
  <si>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</si>
  <si>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</si>
  <si>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</si>
  <si>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</si>
  <si>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</si>
  <si>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</si>
  <si>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</si>
  <si>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</si>
  <si>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</si>
  <si>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</si>
  <si>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</si>
  <si>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</si>
  <si>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</si>
  <si>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</si>
  <si>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</si>
  <si>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</si>
  <si>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</si>
  <si>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</si>
  <si>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</si>
  <si>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</si>
  <si>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</si>
  <si>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</si>
  <si>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</si>
  <si>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</si>
  <si>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</si>
  <si>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</si>
  <si>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</si>
  <si>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</si>
  <si>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</si>
  <si>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</si>
  <si>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</si>
  <si>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</si>
  <si>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</si>
  <si>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</si>
  <si>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</si>
  <si>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</si>
  <si>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</si>
  <si>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</si>
  <si>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</si>
  <si>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</si>
  <si>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</si>
  <si>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Добавить вид топлива</t>
  </si>
  <si>
    <t>HOTVSNA_P1</t>
  </si>
  <si>
    <t>руб.</t>
  </si>
  <si>
    <t>тыс. кВт·ч</t>
  </si>
  <si>
    <t>HEAT_P6</t>
  </si>
  <si>
    <t>NOT_HOTVSNA</t>
  </si>
  <si>
    <t>отсутствует</t>
  </si>
  <si>
    <t>NOT_HEAT_P1</t>
  </si>
  <si>
    <t xml:space="preserve">проценты к уплате </t>
  </si>
  <si>
    <t>услуги банка</t>
  </si>
  <si>
    <t>РСД</t>
  </si>
  <si>
    <t>налог на имущество</t>
  </si>
  <si>
    <t>кол.договор</t>
  </si>
  <si>
    <t>прибыли/убыток прошлых лет</t>
  </si>
  <si>
    <t>Прочие, в том числе списание НУ при заключении КС</t>
  </si>
  <si>
    <t>Добавить прочие расходы</t>
  </si>
  <si>
    <t>HEAT_P2</t>
  </si>
  <si>
    <t>NOT_HEAT_P2</t>
  </si>
  <si>
    <t>https://portal.eias.ru/Portal/DownloadPage.aspx?type=12&amp;guid=b59010c3-6a34-4d22-b778-7204c8d1e4ce</t>
  </si>
  <si>
    <t>COLDVSNA_P1</t>
  </si>
  <si>
    <t>тыс. куб. м</t>
  </si>
  <si>
    <t>HOTVSNA_P2</t>
  </si>
  <si>
    <t>тыс. Гкал</t>
  </si>
  <si>
    <t>VOTV_P1</t>
  </si>
  <si>
    <t>HEAT_P3</t>
  </si>
  <si>
    <t xml:space="preserve"> Анкудиновское шоссе, 24</t>
  </si>
  <si>
    <t xml:space="preserve"> Анкудиновское шоссе, 3-б</t>
  </si>
  <si>
    <t xml:space="preserve"> ул. Верхне-Волжская Набережная, 7-д</t>
  </si>
  <si>
    <t xml:space="preserve"> ул. Московское шоссе, 15-а</t>
  </si>
  <si>
    <t xml:space="preserve"> Московское шоссе, 219-а</t>
  </si>
  <si>
    <t xml:space="preserve"> ул. Нижне-Волжская набережная, 2-а</t>
  </si>
  <si>
    <t>ул. Памирская, 11</t>
  </si>
  <si>
    <t xml:space="preserve"> санаторий "Ройка", к.п. Зеленый город, д.16, пом. П1, П2</t>
  </si>
  <si>
    <t xml:space="preserve"> кп Зеленый город, Санаторий  ВЦСПС, 2-ая территория</t>
  </si>
  <si>
    <t xml:space="preserve"> к.п. Зеленый город, Санаторий  "Нижегородский"</t>
  </si>
  <si>
    <t xml:space="preserve"> кп  "Зеленый город", д/о Зеленый город, д. 19</t>
  </si>
  <si>
    <t>к.п. Зеленый город,  ДОЛ "Чайка", 31 л</t>
  </si>
  <si>
    <t>к.п.Зеленый город, Мореновская школа,  7-г</t>
  </si>
  <si>
    <t xml:space="preserve"> к.п. Зеленый город,д. 7, Дом-интернат для престарелых и инвалидов "Зеленый город"</t>
  </si>
  <si>
    <t xml:space="preserve"> пер. Общественный, 2-а, литер А</t>
  </si>
  <si>
    <t>пер. Бойновский, 9-д</t>
  </si>
  <si>
    <t xml:space="preserve"> пер. Звенигородский, 8-а</t>
  </si>
  <si>
    <t>пер. Плотничный, 11-а</t>
  </si>
  <si>
    <t xml:space="preserve"> пл. М. Горького, 4-а</t>
  </si>
  <si>
    <t xml:space="preserve"> пр. Гагарина, 97</t>
  </si>
  <si>
    <t xml:space="preserve"> пр. Гагарина, 156</t>
  </si>
  <si>
    <t xml:space="preserve"> пр. Гагарина, 178-б</t>
  </si>
  <si>
    <t>пр. Гагарина, 25-е</t>
  </si>
  <si>
    <t>пр. Гагарина, 60, корпус 22</t>
  </si>
  <si>
    <t>пр. Гагарина, 70-а</t>
  </si>
  <si>
    <t xml:space="preserve"> пр. Героев, 13</t>
  </si>
  <si>
    <t xml:space="preserve"> пр. Ленина, 5-а</t>
  </si>
  <si>
    <t xml:space="preserve"> пр. Ленина, 51 корпус 10</t>
  </si>
  <si>
    <t xml:space="preserve"> пр. Союзный, 43</t>
  </si>
  <si>
    <t>ул. Станиславского, 3, литер ВВ1</t>
  </si>
  <si>
    <t>ул. 3-я Ямская, 7</t>
  </si>
  <si>
    <t xml:space="preserve"> ул. 40 лет Победы, 15</t>
  </si>
  <si>
    <t xml:space="preserve"> ул. Академика Баха, 4</t>
  </si>
  <si>
    <t xml:space="preserve"> ул. Бориса Панина, 19-б</t>
  </si>
  <si>
    <t xml:space="preserve"> ул. Базарная, 6</t>
  </si>
  <si>
    <t xml:space="preserve"> ул. Баранова, 11</t>
  </si>
  <si>
    <t>ул. Баренца, 9-а</t>
  </si>
  <si>
    <t xml:space="preserve"> ул. Углова, 7</t>
  </si>
  <si>
    <t>ул. Иванова, 14-д</t>
  </si>
  <si>
    <t xml:space="preserve"> ул. Иванова, 36-б</t>
  </si>
  <si>
    <t xml:space="preserve"> ул. Ванеева, 209-б</t>
  </si>
  <si>
    <t xml:space="preserve"> ул. Варварская, 15-б</t>
  </si>
  <si>
    <t xml:space="preserve"> ул. Ветеринарная, 5</t>
  </si>
  <si>
    <t>ул. Военных комиссаров, 9</t>
  </si>
  <si>
    <t xml:space="preserve"> ул. Вольская, 15-а</t>
  </si>
  <si>
    <t>ул. Воровского, 3</t>
  </si>
  <si>
    <t xml:space="preserve"> ул. Гаугеля, 25</t>
  </si>
  <si>
    <t xml:space="preserve"> ул. Гаугеля, 6-б</t>
  </si>
  <si>
    <t xml:space="preserve"> ул. Геройская, 11-а</t>
  </si>
  <si>
    <t>ул. Горная, 13-а</t>
  </si>
  <si>
    <t xml:space="preserve"> ул. Донецкая, 9-в</t>
  </si>
  <si>
    <t xml:space="preserve"> ул. Дубравная, 18</t>
  </si>
  <si>
    <t>ул. Знаменская, 5-а</t>
  </si>
  <si>
    <t xml:space="preserve"> ул. Ивана Романова, 3-а</t>
  </si>
  <si>
    <t xml:space="preserve"> ул. Июльских дней, 1</t>
  </si>
  <si>
    <t xml:space="preserve"> ул. Климовская, 86-а</t>
  </si>
  <si>
    <t xml:space="preserve"> ул. Коперника, 1-а</t>
  </si>
  <si>
    <t>ул. Красных Зорь, 4-а</t>
  </si>
  <si>
    <t>ул. Голованова, 25-а</t>
  </si>
  <si>
    <t>ул. Горького, 65-д</t>
  </si>
  <si>
    <t xml:space="preserve"> ул. Металлистов, 4-б</t>
  </si>
  <si>
    <t xml:space="preserve"> ул. Гастелло, 1-а</t>
  </si>
  <si>
    <t xml:space="preserve"> ул. Невельская, 9-а</t>
  </si>
  <si>
    <t>ул. Октябрьской Революции, 66-в</t>
  </si>
  <si>
    <t xml:space="preserve"> ул. Планетная, 8-в</t>
  </si>
  <si>
    <t xml:space="preserve"> ул. Премудрова, 12-а</t>
  </si>
  <si>
    <t xml:space="preserve"> ул. Пугачева, 1</t>
  </si>
  <si>
    <t xml:space="preserve"> ул. Путейская, 31-а</t>
  </si>
  <si>
    <t>ул. Радистов, 24</t>
  </si>
  <si>
    <t xml:space="preserve"> ул. Республиканская, 47-а</t>
  </si>
  <si>
    <t xml:space="preserve"> ул. Римского-Корсакова, 50</t>
  </si>
  <si>
    <t xml:space="preserve"> ул. Почтовый съезд, 2</t>
  </si>
  <si>
    <t xml:space="preserve"> ул. Рождественская, 40-а</t>
  </si>
  <si>
    <t xml:space="preserve"> ул. Рождественская, 8</t>
  </si>
  <si>
    <t>ул. Суетинская, 21</t>
  </si>
  <si>
    <t>ул. Таллинская, 15-в</t>
  </si>
  <si>
    <t>ул. Тепличная, 8-а</t>
  </si>
  <si>
    <t>ул. Терешковой, 7</t>
  </si>
  <si>
    <t xml:space="preserve"> ул. Тихорецкая, 3-в</t>
  </si>
  <si>
    <t>ул. Тропинина, 13-д</t>
  </si>
  <si>
    <t>ул. Батумская, 7-б литер П2</t>
  </si>
  <si>
    <t xml:space="preserve"> ул. Ульянова, 47</t>
  </si>
  <si>
    <t xml:space="preserve"> ул. Федосеенко, 89-а</t>
  </si>
  <si>
    <t xml:space="preserve"> ул. Чкалова, 37-а</t>
  </si>
  <si>
    <t xml:space="preserve"> ул. Чкалова, 9-г</t>
  </si>
  <si>
    <t xml:space="preserve"> ул. Энгельса, 1-в</t>
  </si>
  <si>
    <t xml:space="preserve"> ул. Ярославская, 23</t>
  </si>
  <si>
    <t>ул. Гребешковский откос, 7</t>
  </si>
  <si>
    <t>ул. Лесной городок, 6-в</t>
  </si>
  <si>
    <t>ул. Минина, 1а</t>
  </si>
  <si>
    <t xml:space="preserve"> ул. Соревнования, 4-а</t>
  </si>
  <si>
    <t>ул. Дальняя, 1/29-в</t>
  </si>
  <si>
    <t xml:space="preserve"> ул. Радужная, 2-а</t>
  </si>
  <si>
    <t xml:space="preserve"> ул. Чернореченская, дом №1, корпус 1 </t>
  </si>
  <si>
    <t xml:space="preserve"> Котельная к.п. Зеленый город, Д/о Агродом, 12</t>
  </si>
  <si>
    <t xml:space="preserve"> ул. Арктическая, 20а</t>
  </si>
  <si>
    <t xml:space="preserve"> ул. Комарова, 2е</t>
  </si>
  <si>
    <t>ул. Полевая, 8а</t>
  </si>
  <si>
    <t xml:space="preserve"> Казанское шоссе, 12а</t>
  </si>
  <si>
    <t xml:space="preserve"> ул. Дорожная, 5/1</t>
  </si>
  <si>
    <t xml:space="preserve">  ул. Федосеенко, 4а</t>
  </si>
  <si>
    <t xml:space="preserve"> ул. Полевая, 2в</t>
  </si>
  <si>
    <t xml:space="preserve"> ул.Ярославская, 8-а</t>
  </si>
  <si>
    <t>ул.Минина, 43-а</t>
  </si>
  <si>
    <t xml:space="preserve"> ул. Коперника,1Б</t>
  </si>
  <si>
    <t xml:space="preserve"> кп Зеленый город, д/о Кудьма</t>
  </si>
  <si>
    <t>Лесной кв-л, 8 литер А</t>
  </si>
  <si>
    <t>ул. Казанская, 4д</t>
  </si>
  <si>
    <t xml:space="preserve"> ул. Калинина, 8б</t>
  </si>
  <si>
    <t>ул. Ленина, 48а</t>
  </si>
  <si>
    <t xml:space="preserve"> ул. Семашко, 23</t>
  </si>
  <si>
    <t xml:space="preserve"> ул. Центральная, 6б</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</si>
  <si>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</si>
  <si>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</si>
  <si>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</si>
  <si>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</si>
  <si>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</si>
  <si>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</si>
  <si>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</si>
  <si>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</si>
  <si>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</si>
  <si>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</si>
  <si>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</si>
  <si>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</si>
  <si>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котельная ул.Пугачева, 1</t>
  </si>
  <si>
    <t xml:space="preserve">котельная ул.Базарная, 6 </t>
  </si>
  <si>
    <t>котельная ул.Коперника, 1а</t>
  </si>
  <si>
    <t xml:space="preserve">котельная ул.Станиславского, 3 </t>
  </si>
  <si>
    <t xml:space="preserve">котельная ул.Гаугеля, 6б </t>
  </si>
  <si>
    <t xml:space="preserve">котельная ул.Гаугеля, 25 </t>
  </si>
  <si>
    <t xml:space="preserve">котельная пер.Общественный, 2а </t>
  </si>
  <si>
    <t xml:space="preserve">котельная ул.Иванова, 14д </t>
  </si>
  <si>
    <t xml:space="preserve">котельная ул.Баренца, 9а </t>
  </si>
  <si>
    <t xml:space="preserve">котельная ул.Иванова, 36б </t>
  </si>
  <si>
    <t xml:space="preserve">котельная ул.Энгельса, 1в </t>
  </si>
  <si>
    <t>котельная ул.Планетная, 8в</t>
  </si>
  <si>
    <t>котельная ул.Римского-Корсакова, 50</t>
  </si>
  <si>
    <t>котельная пер.Союзный, 43</t>
  </si>
  <si>
    <t>котельная ул.Федосеенко, 89а</t>
  </si>
  <si>
    <t>котельная ул.Баранова, 11</t>
  </si>
  <si>
    <t xml:space="preserve">котельная ул.Дубравная, 18 </t>
  </si>
  <si>
    <t>котельная Московское ш., 219а</t>
  </si>
  <si>
    <t>котельная ул.Красных Зорь, 4а</t>
  </si>
  <si>
    <t>котельная ул.Гастелло, 1а</t>
  </si>
  <si>
    <t>котельная пр.Героев, 13</t>
  </si>
  <si>
    <t>котельная ул.Чернореченская, 1 к.1</t>
  </si>
  <si>
    <t>котельная ул.Федосеенко, 4а</t>
  </si>
  <si>
    <t>котельная ул.40 лет Победы, 15</t>
  </si>
  <si>
    <t xml:space="preserve">котельная ул.Военных Комиссаров, 9 </t>
  </si>
  <si>
    <t xml:space="preserve">котельная ул.Голованова, 25а </t>
  </si>
  <si>
    <t>котельная пр.Гагарина, 97</t>
  </si>
  <si>
    <t xml:space="preserve">котельная ул.Тропинина, 13д </t>
  </si>
  <si>
    <t>котельная ул.Радистов, 24</t>
  </si>
  <si>
    <t>котельная пр.Гагарина, 156</t>
  </si>
  <si>
    <t xml:space="preserve">котельная ул.Углова, 7  </t>
  </si>
  <si>
    <t xml:space="preserve">котельная ул.Батумская, 7б </t>
  </si>
  <si>
    <t>котельная Анкудиновское ш., 3б</t>
  </si>
  <si>
    <t>котельная Анкудиновское ш., 24</t>
  </si>
  <si>
    <t>котельная ул.Горная, 13а</t>
  </si>
  <si>
    <t>котельная пр.Гагарина, 178б</t>
  </si>
  <si>
    <t xml:space="preserve">котельная пр.Гагарина, 25е </t>
  </si>
  <si>
    <t>котельная пр.Гагарина 60, корпус 22</t>
  </si>
  <si>
    <t>котельная пр.Гагарина, 70а</t>
  </si>
  <si>
    <t>котельная ул.Терешковой, 7</t>
  </si>
  <si>
    <t>котельная ул.Полевая, 8а</t>
  </si>
  <si>
    <t>котельная ул.Дорожная, 5/1 п.Новинки</t>
  </si>
  <si>
    <t>котельная ул.Полевая, 2в п.Новинки</t>
  </si>
  <si>
    <t>котельная ул.Гребешковский откос, 7</t>
  </si>
  <si>
    <t>котельная ул.3-я Ямская, 7</t>
  </si>
  <si>
    <t>котельная ул.Соревнования, 4а</t>
  </si>
  <si>
    <t>котельная ул.М. Горького, 65д</t>
  </si>
  <si>
    <t>котельная ул.Дальняя, 1/29-в</t>
  </si>
  <si>
    <t>котельная ул.Почтовый съезд, 2 (Рождественская, 24 )</t>
  </si>
  <si>
    <t>котельная ул.Рождественская, 8</t>
  </si>
  <si>
    <t>котельная ул.М. Горького, 4а</t>
  </si>
  <si>
    <t>котельная ул.Суетинская, 21</t>
  </si>
  <si>
    <t>котельная пер.Плотничный, 11а</t>
  </si>
  <si>
    <t>котельная ул.Ярославская, 23</t>
  </si>
  <si>
    <t>котельная Верхневолжская наб., 7д</t>
  </si>
  <si>
    <t>котельная Санаторий ВЦСПС, 2-я терр.</t>
  </si>
  <si>
    <t>котельная ул.Б. Панина, 19б</t>
  </si>
  <si>
    <t>котельная ул.Рождественская, 40а</t>
  </si>
  <si>
    <t>котельная Зеленый город, ДОЛ "Чайка", 31д</t>
  </si>
  <si>
    <t>котельная Зеленый город, санаторий "Ройка", 16, пом.П1</t>
  </si>
  <si>
    <t>котельная Зеленый город, д/о "Зеленый город", 19</t>
  </si>
  <si>
    <t xml:space="preserve">котельная ул.Варварская, 15б </t>
  </si>
  <si>
    <t>котельная Нижневолжская наб., 2а</t>
  </si>
  <si>
    <t>котельная Санаторий "Нижегородский"</t>
  </si>
  <si>
    <t xml:space="preserve">котельная ул.Радужная, 2а </t>
  </si>
  <si>
    <t xml:space="preserve">котельная пер.Бойновский, 9д </t>
  </si>
  <si>
    <t>котельная ул.Минина, 1а</t>
  </si>
  <si>
    <t>котельная ул.Донецкая, 9в</t>
  </si>
  <si>
    <t>котельная ул.Воровского, 3</t>
  </si>
  <si>
    <t>котельная Дом-интернат для престарелых и инвалидов "Зеленый город", д.7</t>
  </si>
  <si>
    <t>котельная Морёновская школа, 7г</t>
  </si>
  <si>
    <t xml:space="preserve">котельная ул.Республиканская, 47а </t>
  </si>
  <si>
    <t>котельная пер.Звенигородский, 8а</t>
  </si>
  <si>
    <t>котельная Казанское ш., 12а</t>
  </si>
  <si>
    <t>котельная д/о "Агродом" к.п.Зеленый город, 12</t>
  </si>
  <si>
    <t>котельная ул.Ульянова, 47</t>
  </si>
  <si>
    <t>котельная ул.Тихорецкая, 3в</t>
  </si>
  <si>
    <t>котельная Московское ш., 15а</t>
  </si>
  <si>
    <t xml:space="preserve">котельная ул.Ивана Романова, 3а </t>
  </si>
  <si>
    <t>котельная ул.Знаменская, 5а</t>
  </si>
  <si>
    <t>котельная ул.Чкалова, 37а</t>
  </si>
  <si>
    <t>котельная ул.Вольская, 15а</t>
  </si>
  <si>
    <t>котельная ул.Лесной городок, 6в</t>
  </si>
  <si>
    <t>котельная ул.Чкалова, 9г</t>
  </si>
  <si>
    <t>котельная ул.Климовская, 86а</t>
  </si>
  <si>
    <t>котельная ул.Таллинская, 15в</t>
  </si>
  <si>
    <t>котельная ул.Путейская, 31а</t>
  </si>
  <si>
    <t>котельная ул.Невельская, 9а</t>
  </si>
  <si>
    <t xml:space="preserve">котельная пр.Ленина, 51/10 </t>
  </si>
  <si>
    <t>котельная ул.Ак.Баха, 4</t>
  </si>
  <si>
    <t>котельная ул.Премудрова, 12а</t>
  </si>
  <si>
    <t>котельная ул.Геройская, 11а</t>
  </si>
  <si>
    <t>котельная ул.Памирская,11</t>
  </si>
  <si>
    <t>котельная ул.Июльских дней, 1</t>
  </si>
  <si>
    <t>котельная ул.Тепличная, 8а</t>
  </si>
  <si>
    <t>котельная ул.Металлистов, 4б</t>
  </si>
  <si>
    <t>котельная ул.Октябрьской революции, 66в</t>
  </si>
  <si>
    <t xml:space="preserve">котельная пр.Ленина, 5а </t>
  </si>
  <si>
    <t>котельная ул.Комарова, 2е</t>
  </si>
  <si>
    <t>котельная ул.Арктическая, 20а</t>
  </si>
  <si>
    <t>котельная ул.Ветеринарная, 5</t>
  </si>
  <si>
    <t xml:space="preserve">котельная ул.Ванеева, 209б </t>
  </si>
  <si>
    <t>котельная ул.Лесной квартал, 8</t>
  </si>
  <si>
    <t>котельная ул.Калинина, 8б</t>
  </si>
  <si>
    <t>котельная ул.Казанская, 4</t>
  </si>
  <si>
    <t>котельная ул.Ленина, 48а</t>
  </si>
  <si>
    <t>котельная ул.Семашко, 23</t>
  </si>
  <si>
    <t xml:space="preserve">котельная ул.Центральная, 6б </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</si>
  <si>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</si>
  <si>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котельная ул.Минина, 43а</t>
  </si>
  <si>
    <t>котельная ул.Ярославская, 8а</t>
  </si>
  <si>
    <t>котельная к.п. Зеленый город, Д/О "Кудьма"</t>
  </si>
  <si>
    <t>котельная ул.Коперника, 1б</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</si>
  <si>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</si>
  <si>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</si>
  <si>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</si>
  <si>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https://portal.eias.ru/Portal/DownloadPage.aspx?type=12&amp;guid=617f19ee-ff1e-4d6c-9ce4-8e8694f12133</t>
  </si>
  <si>
    <t>https://portal.eias.ru/Portal/DownloadPage.aspx?type=12&amp;guid=b63f510e-f20d-4fca-b7be-3409052f4963</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</si>
  <si>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</si>
  <si>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</si>
  <si>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</si>
  <si>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</si>
  <si>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</si>
  <si>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</si>
  <si>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</si>
  <si>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</si>
  <si>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</si>
  <si>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</si>
  <si>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</si>
  <si>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</si>
  <si>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</si>
  <si>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111</t>
  </si>
  <si>
    <t>Добавить поставщика</t>
  </si>
  <si>
    <t>1111</t>
  </si>
  <si>
    <t>11111</t>
  </si>
  <si>
    <t>111111</t>
  </si>
  <si>
    <t>1111111</t>
  </si>
  <si>
    <t>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</si>
  <si>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</si>
  <si>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</si>
  <si>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</si>
  <si>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</si>
  <si>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</si>
  <si>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</si>
  <si>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</si>
  <si>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</si>
  <si>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</si>
  <si>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</si>
  <si>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</si>
  <si>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</si>
  <si>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</si>
  <si>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</si>
  <si>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</si>
  <si>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</si>
  <si>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</si>
  <si>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</si>
  <si>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</si>
  <si>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</si>
  <si>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</si>
  <si>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</si>
  <si>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</si>
  <si>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</si>
  <si>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</si>
  <si>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</si>
  <si>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</si>
  <si>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</si>
  <si>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</si>
  <si>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</si>
  <si>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</si>
  <si>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</si>
  <si>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</si>
  <si>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</si>
  <si>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</si>
  <si>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</si>
  <si>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</si>
  <si>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</si>
  <si>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</si>
  <si>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</si>
  <si>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</si>
  <si>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</si>
  <si>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</si>
  <si>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</si>
  <si>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</si>
  <si>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</si>
  <si>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</si>
  <si>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</si>
  <si>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</si>
  <si>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</si>
  <si>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</si>
  <si>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</si>
  <si>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</si>
  <si>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</si>
  <si>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</si>
  <si>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</si>
  <si>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</si>
  <si>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</si>
  <si>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</si>
  <si>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</si>
  <si>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</si>
  <si>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</si>
  <si>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</si>
  <si>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</si>
  <si>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</si>
  <si>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</si>
  <si>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</si>
  <si>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</si>
  <si>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</si>
  <si>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</si>
  <si>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</si>
  <si>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</si>
  <si>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</si>
  <si>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</si>
  <si>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</si>
  <si>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</si>
  <si>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</si>
  <si>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</si>
  <si>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</si>
  <si>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</si>
  <si>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</si>
  <si>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</si>
  <si>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</si>
  <si>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</si>
  <si>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</si>
  <si>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</si>
  <si>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</si>
  <si>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</si>
  <si>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</si>
  <si>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</si>
  <si>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</si>
  <si>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</si>
  <si>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</si>
  <si>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</si>
  <si>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</si>
  <si>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</si>
  <si>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</si>
  <si>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</si>
  <si>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</si>
  <si>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</si>
  <si>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</si>
  <si>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</si>
  <si>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</si>
  <si>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</si>
  <si>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</si>
  <si>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</si>
  <si>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</si>
  <si>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</si>
  <si>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</si>
  <si>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</si>
  <si>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</si>
  <si>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</si>
  <si>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</si>
  <si>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</si>
  <si>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</si>
  <si>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</si>
  <si>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</si>
  <si>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</si>
  <si>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</si>
  <si>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</si>
  <si>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</si>
  <si>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</si>
  <si>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</si>
  <si>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</si>
  <si>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</si>
  <si>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</si>
  <si>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</si>
  <si>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</si>
  <si>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</si>
  <si>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</si>
  <si>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</si>
  <si>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</si>
  <si>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</si>
  <si>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</si>
  <si>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</si>
  <si>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</si>
  <si>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</si>
  <si>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</si>
  <si>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</si>
  <si>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</si>
  <si>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</si>
  <si>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</si>
  <si>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</si>
  <si>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</si>
  <si>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</si>
  <si>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</si>
  <si>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</si>
  <si>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</si>
  <si>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</si>
  <si>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</si>
  <si>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</si>
  <si>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</si>
  <si>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</si>
  <si>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</si>
  <si>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</si>
  <si>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</si>
  <si>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</si>
  <si>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</si>
  <si>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</si>
  <si>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</si>
  <si>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</si>
  <si>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</si>
  <si>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</si>
  <si>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</si>
  <si>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</si>
  <si>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</si>
  <si>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</si>
  <si>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</si>
  <si>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</si>
  <si>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</si>
  <si>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</si>
  <si>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</si>
  <si>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</si>
  <si>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</si>
  <si>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</si>
  <si>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</si>
  <si>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</si>
  <si>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</si>
  <si>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</si>
  <si>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</si>
  <si>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</si>
  <si>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</si>
  <si>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</si>
  <si>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</si>
  <si>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</si>
  <si>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</si>
  <si>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</si>
  <si>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</si>
  <si>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</si>
  <si>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</si>
  <si>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</si>
  <si>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</si>
  <si>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</si>
  <si>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</si>
  <si>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</si>
  <si>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</si>
  <si>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</si>
  <si>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</si>
  <si>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</si>
  <si>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</si>
  <si>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</si>
  <si>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</si>
  <si>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</si>
  <si>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</si>
  <si>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</si>
  <si>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</si>
  <si>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https://portal.eias.ru/Portal/DownloadPage.aspx?type=12&amp;guid=373464a4-29c3-464d-9d6e-b7adfb145bd7</t>
  </si>
  <si>
    <t>Показатели надежности и энергетической эффективности, установленные в соответствии с законодательством Российской Федерации</t>
  </si>
  <si>
    <t>1,18/0,02</t>
  </si>
  <si>
    <t>0/0</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</si>
  <si>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</si>
  <si>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</si>
  <si>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</si>
  <si>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</si>
  <si>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</si>
  <si>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</si>
  <si>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</si>
  <si>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</si>
  <si>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</si>
  <si>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</si>
  <si>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</si>
  <si>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</si>
  <si>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</si>
  <si>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</si>
  <si>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</si>
  <si>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</si>
  <si>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</si>
  <si>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</si>
  <si>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</si>
  <si>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</si>
  <si>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</si>
  <si>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</si>
  <si>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</si>
  <si>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</si>
  <si>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</si>
  <si>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</si>
  <si>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</si>
  <si>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</si>
  <si>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</si>
  <si>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</si>
  <si>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</si>
  <si>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</si>
  <si>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</si>
  <si>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</si>
  <si>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</si>
  <si>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</si>
  <si>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</si>
  <si>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</si>
  <si>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</si>
  <si>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</si>
  <si>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</si>
  <si>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</si>
  <si>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</si>
  <si>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</si>
  <si>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</si>
  <si>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</si>
  <si>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</si>
  <si>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</si>
  <si>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</si>
  <si>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</si>
  <si>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</si>
  <si>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</si>
  <si>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</si>
  <si>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</si>
  <si>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</si>
  <si>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</si>
  <si>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</si>
  <si>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</si>
  <si>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</si>
  <si>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</si>
  <si>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</si>
  <si>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</si>
  <si>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</si>
  <si>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</si>
  <si>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</si>
  <si>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</si>
  <si>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</si>
  <si>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</si>
  <si>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</si>
  <si>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</si>
  <si>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</si>
  <si>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</si>
  <si>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</si>
  <si>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</si>
  <si>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</si>
  <si>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</si>
  <si>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</si>
  <si>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</si>
  <si>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</si>
  <si>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</si>
  <si>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</si>
  <si>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</si>
  <si>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</si>
  <si>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</si>
  <si>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</si>
  <si>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</si>
  <si>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</si>
  <si>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</si>
  <si>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</si>
  <si>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</si>
  <si>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</si>
  <si>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</si>
  <si>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</si>
  <si>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</si>
  <si>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</si>
  <si>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</si>
  <si>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</si>
  <si>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</si>
  <si>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</si>
  <si>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</si>
  <si>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</si>
  <si>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</si>
  <si>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</si>
  <si>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</si>
  <si>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</si>
  <si>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</si>
  <si>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</si>
  <si>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</si>
  <si>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</si>
  <si>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</si>
  <si>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</si>
  <si>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</si>
  <si>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</si>
  <si>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</si>
  <si>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</si>
  <si>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</si>
  <si>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</si>
  <si>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</si>
  <si>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</si>
  <si>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</si>
  <si>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</si>
  <si>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</si>
  <si>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</si>
  <si>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</si>
  <si>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</si>
  <si>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</si>
  <si>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</si>
  <si>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</si>
  <si>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</si>
  <si>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</si>
  <si>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</si>
  <si>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</si>
  <si>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</si>
  <si>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</si>
  <si>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</si>
  <si>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</si>
  <si>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</si>
  <si>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</si>
  <si>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</si>
  <si>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</si>
  <si>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</si>
  <si>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</si>
  <si>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</si>
  <si>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</si>
  <si>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</si>
  <si>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</si>
  <si>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</si>
  <si>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</si>
  <si>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</si>
  <si>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</si>
  <si>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</si>
  <si>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</si>
  <si>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</si>
  <si>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</si>
  <si>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</si>
  <si>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</si>
  <si>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</si>
  <si>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</si>
  <si>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</si>
  <si>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</si>
  <si>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</si>
  <si>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</si>
  <si>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</si>
  <si>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</si>
  <si>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уменьшение удельных затрат (повышение КПД); автоматизация (с уменьшением штата); уменьшение издержек на производство; снижение аварийности; прочее</t>
  </si>
  <si>
    <t>Министерство жилищно-коммунального хозяйства и топливно-энергетического комплекса Нижегородской области</t>
  </si>
  <si>
    <t>Администрация города Нижнего Новгорода</t>
  </si>
  <si>
    <t>01.01.2023</t>
  </si>
  <si>
    <t>31.12.2047</t>
  </si>
  <si>
    <t>Инвестиционная программа АО «Теплоэнерго» на 2023-2027 гг.</t>
  </si>
  <si>
    <t>приказ</t>
  </si>
  <si>
    <t>№329-396/22П/од</t>
  </si>
  <si>
    <t>23.11.2022</t>
  </si>
  <si>
    <t xml:space="preserve">№329-519/23П/од </t>
  </si>
  <si>
    <t>№21/63-П от 30.06.2023</t>
  </si>
  <si>
    <t>ip_5</t>
  </si>
  <si>
    <t>Добавить реквизиты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</si>
  <si>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</si>
  <si>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 xml:space="preserve">Администрация городского округа города Чкаловск
</t>
  </si>
  <si>
    <t>28.05.2021</t>
  </si>
  <si>
    <t>31.12.2030</t>
  </si>
  <si>
    <t>Инвестиционная программа АО «Теплоэнерго» на территории г.о.г.Чкаловск на 2021-2030 гг.</t>
  </si>
  <si>
    <t>№329-128/21П/од</t>
  </si>
  <si>
    <t>№91-П от 26.04.2021</t>
  </si>
  <si>
    <t>ip_51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</si>
  <si>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</si>
  <si>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</si>
  <si>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</si>
  <si>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</si>
  <si>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</si>
  <si>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</si>
  <si>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</si>
  <si>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</si>
  <si>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</si>
  <si>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</si>
  <si>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</si>
  <si>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</si>
  <si>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</si>
  <si>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</si>
  <si>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</si>
  <si>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</si>
  <si>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</si>
  <si>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</si>
  <si>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</si>
  <si>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</si>
  <si>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</si>
  <si>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</si>
  <si>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</si>
  <si>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</si>
  <si>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</si>
  <si>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</si>
  <si>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</si>
  <si>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</si>
  <si>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</si>
  <si>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</si>
  <si>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</si>
  <si>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</si>
  <si>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</si>
  <si>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Декабрь</t>
  </si>
  <si>
    <t>2024</t>
  </si>
  <si>
    <t xml:space="preserve">  За счет платы за технологическое присоединение</t>
  </si>
  <si>
    <t>Добавить источник финансирования</t>
  </si>
  <si>
    <t>Добавить объект инфраструктуры</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</si>
  <si>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</si>
  <si>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</si>
  <si>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 xml:space="preserve">      Амортизационные отчисления с выделением результатов переоценки основных средств и нематериальных активов</t>
  </si>
  <si>
    <t xml:space="preserve">      Займы, предоставленные Фондом ЖКХ за счет средств ФНБ</t>
  </si>
  <si>
    <t xml:space="preserve">  Кредиты</t>
  </si>
  <si>
    <t>2032</t>
  </si>
  <si>
    <t>Мероприятия, направленные на повышение энергоэффективности в сфере теплоснабжения</t>
  </si>
  <si>
    <t>2047</t>
  </si>
  <si>
    <t xml:space="preserve">  Прибыль направляемая на инвестиции</t>
  </si>
  <si>
    <t>2039</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</si>
  <si>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</si>
  <si>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2027</t>
  </si>
  <si>
    <t>Добавить мероприятие</t>
  </si>
  <si>
    <t>2021</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</si>
  <si>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</si>
  <si>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</si>
  <si>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</si>
  <si>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2025</t>
  </si>
  <si>
    <t>2028</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</si>
  <si>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</si>
  <si>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</si>
  <si>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</si>
  <si>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</si>
  <si>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</si>
  <si>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</si>
  <si>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</si>
  <si>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</si>
  <si>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</si>
  <si>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</si>
  <si>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</si>
  <si>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</si>
  <si>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</si>
  <si>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</si>
  <si>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</si>
  <si>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</si>
  <si>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</si>
  <si>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</si>
  <si>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</si>
  <si>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</si>
  <si>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</si>
  <si>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</si>
  <si>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</si>
  <si>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</si>
  <si>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</si>
  <si>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</si>
  <si>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</si>
  <si>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</si>
  <si>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</si>
  <si>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</si>
  <si>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</si>
  <si>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</si>
  <si>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</si>
  <si>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</si>
  <si>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</si>
  <si>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</si>
  <si>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</si>
  <si>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</si>
  <si>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</si>
  <si>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</si>
  <si>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</si>
  <si>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</si>
  <si>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</si>
  <si>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</si>
  <si>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</si>
  <si>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</si>
  <si>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</si>
  <si>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</si>
  <si>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</si>
  <si>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</si>
  <si>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</si>
  <si>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</si>
  <si>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</si>
  <si>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</si>
  <si>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</si>
  <si>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</si>
  <si>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</si>
  <si>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</si>
  <si>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</si>
  <si>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</si>
  <si>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</si>
  <si>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</si>
  <si>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</si>
  <si>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</si>
  <si>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</si>
  <si>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</si>
  <si>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</si>
  <si>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</si>
  <si>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</si>
  <si>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</si>
  <si>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</si>
  <si>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</si>
  <si>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</si>
  <si>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</si>
  <si>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</si>
  <si>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</si>
  <si>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</si>
  <si>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</si>
  <si>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</si>
  <si>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</si>
  <si>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</si>
  <si>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</si>
  <si>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</si>
  <si>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</si>
  <si>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</si>
  <si>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</si>
  <si>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</si>
  <si>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</si>
  <si>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</si>
  <si>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</si>
  <si>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</si>
  <si>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</si>
  <si>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</si>
  <si>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</si>
  <si>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</si>
  <si>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</si>
  <si>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</si>
  <si>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</si>
  <si>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</si>
  <si>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</si>
  <si>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прочее</t>
  </si>
  <si>
    <t>в целом на инвестиционную программу</t>
  </si>
  <si>
    <t>Добавить цель</t>
  </si>
  <si>
    <t>улучшение качества; повышение надёжности и энергетической эффективности</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</si>
  <si>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</si>
  <si>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</si>
  <si>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</si>
  <si>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</si>
  <si>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</si>
  <si>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</si>
  <si>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</si>
  <si>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</si>
  <si>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</si>
  <si>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</si>
  <si>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</si>
  <si>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</si>
  <si>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</si>
  <si>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</si>
  <si>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</si>
  <si>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</si>
  <si>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</si>
  <si>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</si>
  <si>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</si>
  <si>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</si>
  <si>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</si>
  <si>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</si>
  <si>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</si>
  <si>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</si>
  <si>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</si>
  <si>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</si>
  <si>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</si>
  <si>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</si>
  <si>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</si>
  <si>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</si>
  <si>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</si>
  <si>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</si>
  <si>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</si>
  <si>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</si>
  <si>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</si>
  <si>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</si>
  <si>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</si>
  <si>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</si>
  <si>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</si>
  <si>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</si>
  <si>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</si>
  <si>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</si>
  <si>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</si>
  <si>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</si>
  <si>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</si>
  <si>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</si>
  <si>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</si>
  <si>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</si>
  <si>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</si>
  <si>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</si>
  <si>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</si>
  <si>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</si>
  <si>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</si>
  <si>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</si>
  <si>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</si>
  <si>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</si>
  <si>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</si>
  <si>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</si>
  <si>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</si>
  <si>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</si>
  <si>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</si>
  <si>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</si>
  <si>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</si>
  <si>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</si>
  <si>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</si>
  <si>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</si>
  <si>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</si>
  <si>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</si>
  <si>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</si>
  <si>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</si>
  <si>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</si>
  <si>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</si>
  <si>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</si>
  <si>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</si>
  <si>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</si>
  <si>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</si>
  <si>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</si>
  <si>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</si>
  <si>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</si>
  <si>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</si>
  <si>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</si>
  <si>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</si>
  <si>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</si>
  <si>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</si>
  <si>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</si>
  <si>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</si>
  <si>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</si>
  <si>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</si>
  <si>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</si>
  <si>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</si>
  <si>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</si>
  <si>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</si>
  <si>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</si>
  <si>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</si>
  <si>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</si>
  <si>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</si>
  <si>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</si>
  <si>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</si>
  <si>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</si>
  <si>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</si>
  <si>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</si>
  <si>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</si>
  <si>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</si>
  <si>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</si>
  <si>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</si>
  <si>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</si>
  <si>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</si>
  <si>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</si>
  <si>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</si>
  <si>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</si>
  <si>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</si>
  <si>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</si>
  <si>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</si>
  <si>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</si>
  <si>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</si>
  <si>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</si>
  <si>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</si>
  <si>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</si>
  <si>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</si>
  <si>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</si>
  <si>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</si>
  <si>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</si>
  <si>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</si>
  <si>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</si>
  <si>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</si>
  <si>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</si>
  <si>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</si>
  <si>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</si>
  <si>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</si>
  <si>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</si>
  <si>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</si>
  <si>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</si>
  <si>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</si>
  <si>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</si>
  <si>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</si>
  <si>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</si>
  <si>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</si>
  <si>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</si>
  <si>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</si>
  <si>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</si>
  <si>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</si>
  <si>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</si>
  <si>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</si>
  <si>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</si>
  <si>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</si>
  <si>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</si>
  <si>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</si>
  <si>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</si>
  <si>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</si>
  <si>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</si>
  <si>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</si>
  <si>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</si>
  <si>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</si>
  <si>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</si>
  <si>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</si>
  <si>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</si>
  <si>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</si>
  <si>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</si>
  <si>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</si>
  <si>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</si>
  <si>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</si>
  <si>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</si>
  <si>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</si>
  <si>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</si>
  <si>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</si>
  <si>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</si>
  <si>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</si>
  <si>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</si>
  <si>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</si>
  <si>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</si>
  <si>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</si>
  <si>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</si>
  <si>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</si>
  <si>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</si>
  <si>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</si>
  <si>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</si>
  <si>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</si>
  <si>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</si>
  <si>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</si>
  <si>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</si>
  <si>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</si>
  <si>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</si>
  <si>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</si>
  <si>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</si>
  <si>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</si>
  <si>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</si>
  <si>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</si>
  <si>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</si>
  <si>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</si>
  <si>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</si>
  <si>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</si>
  <si>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</si>
  <si>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</si>
  <si>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</si>
  <si>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</si>
  <si>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</si>
  <si>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</si>
  <si>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</si>
  <si>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</si>
  <si>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</si>
  <si>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</si>
  <si>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</si>
  <si>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</si>
  <si>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</si>
  <si>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</si>
  <si>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</si>
  <si>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</si>
  <si>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</si>
  <si>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</si>
  <si>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</si>
  <si>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</si>
  <si>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</si>
  <si>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</si>
  <si>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</si>
  <si>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</si>
  <si>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</si>
  <si>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</si>
  <si>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</si>
  <si>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</si>
  <si>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</si>
  <si>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</si>
  <si>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</si>
  <si>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</si>
  <si>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</si>
  <si>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</si>
  <si>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</si>
  <si>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</si>
  <si>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</si>
  <si>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</si>
  <si>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</si>
  <si>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</si>
  <si>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</si>
  <si>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</si>
  <si>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</si>
  <si>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</si>
  <si>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</si>
  <si>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</si>
  <si>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</si>
  <si>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</si>
  <si>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</si>
  <si>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</si>
  <si>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</si>
  <si>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</si>
  <si>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</si>
  <si>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</si>
  <si>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</si>
  <si>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</si>
  <si>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</si>
  <si>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</si>
  <si>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</si>
  <si>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</si>
  <si>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</si>
  <si>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</si>
  <si>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</si>
  <si>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</si>
  <si>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</si>
  <si>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</si>
  <si>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</si>
  <si>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</si>
  <si>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</si>
  <si>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</si>
  <si>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</si>
  <si>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</si>
  <si>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</si>
  <si>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</si>
  <si>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</si>
  <si>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</si>
  <si>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</si>
  <si>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</si>
  <si>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</si>
  <si>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</si>
  <si>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</si>
  <si>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</si>
  <si>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</si>
  <si>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</si>
  <si>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</si>
  <si>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</si>
  <si>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</si>
  <si>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</si>
  <si>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</si>
  <si>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</si>
  <si>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</si>
  <si>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</si>
  <si>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</si>
  <si>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</si>
  <si>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</si>
  <si>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</si>
  <si>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</si>
  <si>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</si>
  <si>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</si>
  <si>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</si>
  <si>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</si>
  <si>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</si>
  <si>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</si>
  <si>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</si>
  <si>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</si>
  <si>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</si>
  <si>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</si>
  <si>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</si>
  <si>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</si>
  <si>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</si>
  <si>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</si>
  <si>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</si>
  <si>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</si>
  <si>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</si>
  <si>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</si>
  <si>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</si>
  <si>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</si>
  <si>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</si>
  <si>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</si>
  <si>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</si>
  <si>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</si>
  <si>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</si>
  <si>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</si>
  <si>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</si>
  <si>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</si>
  <si>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</si>
  <si>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</si>
  <si>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</si>
  <si>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</si>
  <si>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</si>
  <si>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</si>
  <si>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</si>
  <si>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</si>
  <si>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</si>
  <si>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</si>
  <si>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</si>
  <si>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</si>
  <si>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</si>
  <si>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</si>
  <si>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</si>
  <si>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</si>
  <si>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</si>
  <si>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</si>
  <si>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</si>
  <si>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</si>
  <si>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</si>
  <si>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</si>
  <si>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</si>
  <si>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</si>
  <si>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</si>
  <si>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</si>
  <si>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</si>
  <si>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</si>
  <si>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</si>
  <si>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</si>
  <si>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</si>
  <si>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</si>
  <si>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</si>
  <si>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</si>
  <si>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</si>
  <si>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</si>
  <si>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</si>
  <si>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</si>
  <si>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</si>
  <si>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</si>
  <si>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</si>
  <si>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</si>
  <si>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</si>
  <si>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</si>
  <si>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</si>
  <si>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</si>
  <si>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</si>
  <si>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</si>
  <si>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</si>
  <si>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</si>
  <si>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</si>
  <si>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</si>
  <si>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</si>
  <si>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</si>
  <si>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</si>
  <si>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</si>
  <si>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</si>
  <si>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</si>
  <si>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</si>
  <si>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</si>
  <si>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</si>
  <si>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</si>
  <si>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</si>
  <si>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</si>
  <si>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</si>
  <si>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</si>
  <si>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</si>
  <si>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</si>
  <si>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</si>
  <si>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</si>
  <si>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</si>
  <si>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</si>
  <si>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</si>
  <si>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</si>
  <si>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</si>
  <si>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</si>
  <si>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</si>
  <si>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</si>
  <si>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</si>
  <si>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</si>
  <si>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</si>
  <si>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</si>
  <si>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</si>
  <si>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</si>
  <si>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</si>
  <si>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</si>
  <si>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</si>
  <si>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</si>
  <si>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</si>
  <si>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</si>
  <si>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</si>
  <si>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</si>
  <si>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</si>
  <si>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</si>
  <si>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</si>
  <si>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</si>
  <si>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</si>
  <si>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</si>
  <si>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</si>
  <si>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</si>
  <si>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</si>
  <si>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</si>
  <si>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</si>
  <si>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</si>
  <si>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</si>
  <si>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</si>
  <si>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</si>
  <si>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</si>
  <si>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</si>
  <si>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</si>
  <si>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</si>
  <si>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</si>
  <si>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</si>
  <si>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</si>
  <si>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</si>
  <si>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</si>
  <si>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</si>
  <si>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</si>
  <si>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</si>
  <si>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</si>
  <si>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</si>
  <si>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</si>
  <si>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</si>
  <si>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</si>
  <si>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</si>
  <si>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</si>
  <si>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</si>
  <si>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</si>
  <si>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</si>
  <si>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</si>
  <si>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</si>
  <si>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</si>
  <si>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</si>
  <si>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</si>
  <si>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</si>
  <si>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</si>
  <si>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</si>
  <si>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</si>
  <si>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</si>
  <si>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</si>
  <si>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</si>
  <si>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</si>
  <si>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</si>
  <si>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</si>
  <si>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</si>
  <si>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</si>
  <si>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</si>
  <si>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</si>
  <si>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</si>
  <si>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</si>
  <si>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</si>
  <si>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</si>
  <si>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</si>
  <si>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</si>
  <si>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</si>
  <si>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</si>
  <si>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</si>
  <si>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</si>
  <si>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</si>
  <si>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</si>
  <si>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</si>
  <si>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</si>
  <si>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</si>
  <si>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</si>
  <si>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</si>
  <si>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</si>
  <si>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</si>
  <si>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</si>
  <si>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</si>
  <si>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</si>
  <si>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</si>
  <si>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</si>
  <si>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</si>
  <si>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</si>
  <si>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</si>
  <si>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</si>
  <si>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</si>
  <si>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</si>
  <si>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</si>
  <si>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</si>
  <si>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</si>
  <si>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</si>
  <si>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</si>
  <si>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</si>
  <si>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</si>
  <si>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</si>
  <si>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</si>
  <si>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</si>
  <si>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</si>
  <si>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</si>
  <si>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</si>
  <si>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</si>
  <si>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</si>
  <si>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</si>
  <si>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</si>
  <si>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</si>
  <si>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</si>
  <si>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</si>
  <si>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</si>
  <si>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</si>
  <si>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</si>
  <si>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</si>
  <si>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</si>
  <si>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</si>
  <si>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</si>
  <si>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</si>
  <si>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</si>
  <si>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</si>
  <si>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</si>
  <si>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</si>
  <si>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</si>
  <si>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</si>
  <si>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</si>
  <si>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</si>
  <si>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</si>
  <si>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</si>
  <si>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</si>
  <si>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</si>
  <si>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</si>
  <si>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</si>
  <si>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</si>
  <si>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</si>
  <si>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</si>
  <si>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</si>
  <si>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</si>
  <si>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</si>
  <si>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</si>
  <si>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</si>
  <si>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</si>
  <si>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</si>
  <si>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</si>
  <si>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</si>
  <si>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</si>
  <si>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</si>
  <si>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</si>
  <si>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</si>
  <si>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</si>
  <si>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</si>
  <si>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</si>
  <si>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</si>
  <si>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</si>
  <si>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</si>
  <si>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</si>
  <si>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</si>
  <si>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</si>
  <si>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</si>
  <si>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</si>
  <si>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</si>
  <si>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</si>
  <si>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</si>
  <si>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</si>
  <si>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</si>
  <si>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</si>
  <si>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</si>
  <si>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</si>
  <si>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</si>
  <si>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</si>
  <si>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</si>
  <si>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</si>
  <si>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</si>
  <si>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</si>
  <si>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</si>
  <si>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</si>
  <si>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</si>
  <si>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</si>
  <si>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</si>
  <si>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</si>
  <si>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</si>
  <si>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</si>
  <si>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</si>
  <si>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</si>
  <si>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</si>
  <si>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</si>
  <si>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</si>
  <si>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</si>
  <si>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</si>
  <si>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</si>
  <si>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</si>
  <si>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</si>
  <si>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</si>
  <si>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</si>
  <si>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</si>
  <si>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</si>
  <si>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</si>
  <si>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</si>
  <si>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</si>
  <si>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</si>
  <si>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</si>
  <si>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</si>
  <si>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</si>
  <si>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</si>
  <si>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</si>
  <si>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</si>
  <si>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</si>
  <si>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</si>
  <si>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</si>
  <si>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</si>
  <si>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</si>
  <si>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</si>
  <si>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</si>
  <si>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</si>
  <si>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</si>
  <si>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</si>
  <si>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</si>
  <si>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</si>
  <si>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</si>
  <si>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</si>
  <si>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</si>
  <si>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</si>
  <si>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</si>
  <si>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</si>
  <si>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</si>
  <si>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</si>
  <si>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</si>
  <si>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</si>
  <si>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</si>
  <si>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</si>
  <si>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</si>
  <si>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</si>
  <si>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</si>
  <si>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</si>
  <si>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</si>
  <si>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</si>
  <si>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</si>
  <si>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</si>
  <si>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</si>
  <si>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</si>
  <si>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</si>
  <si>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</si>
  <si>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</si>
  <si>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</si>
  <si>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</si>
  <si>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</si>
  <si>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</si>
  <si>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</si>
  <si>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</si>
  <si>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</si>
  <si>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</si>
  <si>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</si>
  <si>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</si>
  <si>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</si>
  <si>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</si>
  <si>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</si>
  <si>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</si>
  <si>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</si>
  <si>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</si>
  <si>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</si>
  <si>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</si>
  <si>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</si>
  <si>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</si>
  <si>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</si>
  <si>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</si>
  <si>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</si>
  <si>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</si>
  <si>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</si>
  <si>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</si>
  <si>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</si>
  <si>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</si>
  <si>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</si>
  <si>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</si>
  <si>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</si>
  <si>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</si>
  <si>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</si>
  <si>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</si>
  <si>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</si>
  <si>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</si>
  <si>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</si>
  <si>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</si>
  <si>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</si>
  <si>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</si>
  <si>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</si>
  <si>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</si>
  <si>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</si>
  <si>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</si>
  <si>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</si>
  <si>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</si>
  <si>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</si>
  <si>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</si>
  <si>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</si>
  <si>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</si>
  <si>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</si>
  <si>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</si>
  <si>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</si>
  <si>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</si>
  <si>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</si>
  <si>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</si>
  <si>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</si>
  <si>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</si>
  <si>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</si>
  <si>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</si>
  <si>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</si>
  <si>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</si>
  <si>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</si>
  <si>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</si>
  <si>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</si>
  <si>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</si>
  <si>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</si>
  <si>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</si>
  <si>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</si>
  <si>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</si>
  <si>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</si>
  <si>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</si>
  <si>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</si>
  <si>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</si>
  <si>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</si>
  <si>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</si>
  <si>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</si>
  <si>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</si>
  <si>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</si>
  <si>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</si>
  <si>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</si>
  <si>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</si>
  <si>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</si>
  <si>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</si>
  <si>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</si>
  <si>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</si>
  <si>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</si>
  <si>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</si>
  <si>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</si>
  <si>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</si>
  <si>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</si>
  <si>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</si>
  <si>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</si>
  <si>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</si>
  <si>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</si>
  <si>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</si>
  <si>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</si>
  <si>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</si>
  <si>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</si>
  <si>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</si>
  <si>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</si>
  <si>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</si>
  <si>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</si>
  <si>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</si>
  <si>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</si>
  <si>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</si>
  <si>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</si>
  <si>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</si>
  <si>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</si>
  <si>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</si>
  <si>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</si>
  <si>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</si>
  <si>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</si>
  <si>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</si>
  <si>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</si>
  <si>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</si>
  <si>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</si>
  <si>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Лист шаблона "Показатели ФХД"  при расчете Чистой прибыли (строка 4) учтены прочие доходы и налог на прибыль по соответствующим видам деятельности, в том числе:</t>
  </si>
  <si>
    <t>по столбцу "Вид деятельности: - Производство тепловой энергии. Некомбинированная выработка; Передача.Тепловая энергия; Сбыт.Тепловая энергия; Территория оказания услуг: Территория 1": прочие доходы 430897 тыс.руб., налог на прибыль (-108406 тыс.руб.).</t>
  </si>
  <si>
    <t>по столбцу "Вид деятельности: - Производство тепловой энергии. Некомбинированная выработка; Передача.Тепловая энергия; Сбыт.Тепловая энергия; Территория оказания услуг: Территория 3": прочие доходы 27214 тыс.руб., налог на прибыль (-615 тыс.руб.).</t>
  </si>
  <si>
    <t>по столбцу "Вид деятельности: - Производство тепловой энергии. Некомбинированная выработка; Передача.Тепловая энергия; Территория оказания услуг: Территория 2": прочие доходы 0 тыс.руб., налог на прибыль 1607 тыс.руб.</t>
  </si>
  <si>
    <t>по столбцу "Вид деятельности: - Производство. Теплоноситель; Территория оказания услуг: Территория 2": прочие доходы 0 тыс.руб., налог на прибыль (-164 тыс.руб.).</t>
  </si>
  <si>
    <t>по столбцу "Вид деятельности: - Подключение (технологическое присоединений) к системе теплоснабжения; Территория оказания услуг: Территория 1": прочие доходы 0 тыс.руб., налог на прибыль 27627 тыс.руб.</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</si>
  <si>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</si>
  <si>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</si>
  <si>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</si>
  <si>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</si>
  <si>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</si>
  <si>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</si>
  <si>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</si>
  <si>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</si>
  <si>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</si>
  <si>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</si>
  <si>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</si>
  <si>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</si>
  <si>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</si>
  <si>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</si>
  <si>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</si>
  <si>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</si>
  <si>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</si>
  <si>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</si>
  <si>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</si>
  <si>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</si>
  <si>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</si>
  <si>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</si>
  <si>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</si>
  <si>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</si>
  <si>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</si>
  <si>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</si>
  <si>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</si>
  <si>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</si>
  <si>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</si>
  <si>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</si>
  <si>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</si>
  <si>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</si>
  <si>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</si>
  <si>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</si>
  <si>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</si>
  <si>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</si>
  <si>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</si>
  <si>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</si>
  <si>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</si>
  <si>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</si>
  <si>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</si>
  <si>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</si>
  <si>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</si>
  <si>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</si>
  <si>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</si>
  <si>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</si>
  <si>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</si>
  <si>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</si>
  <si>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</si>
  <si>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</si>
  <si>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</si>
  <si>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</si>
  <si>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</si>
  <si>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</si>
  <si>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</si>
  <si>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</si>
  <si>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</si>
  <si>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</si>
  <si>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</si>
  <si>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</si>
  <si>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</si>
  <si>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</si>
  <si>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</si>
  <si>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</si>
  <si>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</si>
  <si>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</si>
  <si>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</si>
  <si>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</si>
  <si>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</si>
  <si>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</si>
  <si>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</si>
  <si>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</si>
  <si>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</si>
  <si>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</si>
  <si>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</si>
  <si>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</si>
  <si>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</si>
  <si>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</si>
  <si>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</si>
  <si>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</si>
  <si>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</si>
  <si>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</si>
  <si>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</si>
  <si>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</si>
  <si>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</si>
  <si>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</si>
  <si>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</si>
  <si>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</si>
  <si>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</si>
  <si>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</si>
  <si>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</si>
  <si>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</si>
  <si>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</si>
  <si>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</si>
  <si>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</si>
  <si>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</si>
  <si>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</si>
  <si>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</si>
  <si>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</si>
  <si>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</si>
  <si>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</si>
  <si>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</si>
  <si>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</si>
  <si>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</si>
  <si>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</si>
  <si>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</si>
  <si>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</si>
  <si>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</si>
  <si>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</si>
  <si>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</si>
  <si>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</si>
  <si>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</si>
  <si>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</si>
  <si>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</si>
  <si>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</si>
  <si>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</si>
  <si>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</si>
  <si>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</si>
  <si>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</si>
  <si>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</si>
  <si>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</si>
  <si>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</si>
  <si>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</si>
  <si>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</si>
  <si>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</si>
  <si>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</si>
  <si>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</si>
  <si>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</si>
  <si>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</si>
  <si>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</si>
  <si>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</si>
  <si>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</si>
  <si>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</si>
  <si>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</si>
  <si>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</si>
  <si>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</si>
  <si>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</si>
  <si>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</si>
  <si>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</si>
  <si>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</si>
  <si>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</si>
  <si>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</si>
  <si>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</si>
  <si>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</si>
  <si>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</si>
  <si>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</si>
  <si>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</si>
  <si>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</si>
  <si>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</si>
  <si>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</si>
  <si>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</si>
  <si>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</si>
  <si>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</si>
  <si>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</si>
  <si>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</si>
  <si>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</si>
  <si>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</si>
  <si>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</si>
  <si>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</si>
  <si>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</si>
  <si>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</si>
  <si>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</si>
  <si>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</si>
  <si>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</si>
  <si>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</si>
  <si>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</si>
  <si>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</si>
  <si>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</si>
  <si>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</si>
  <si>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</si>
  <si>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</si>
  <si>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</si>
  <si>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</si>
  <si>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</si>
  <si>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</si>
  <si>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</si>
  <si>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</si>
  <si>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</si>
  <si>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</si>
  <si>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</si>
  <si>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</si>
  <si>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</si>
  <si>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</si>
  <si>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</si>
  <si>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</si>
  <si>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</si>
  <si>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</si>
  <si>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</si>
  <si>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</si>
  <si>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</si>
  <si>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</si>
  <si>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</si>
  <si>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</si>
  <si>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</si>
  <si>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</si>
  <si>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</si>
  <si>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</si>
  <si>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</si>
  <si>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</si>
  <si>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</si>
  <si>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</si>
  <si>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</si>
  <si>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</si>
  <si>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</si>
  <si>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</si>
  <si>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</si>
  <si>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</si>
  <si>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</si>
  <si>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</si>
  <si>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</si>
  <si>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</si>
  <si>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</si>
  <si>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</si>
  <si>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</si>
  <si>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</si>
  <si>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</si>
  <si>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</si>
  <si>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</si>
  <si>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</si>
  <si>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</si>
  <si>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</si>
  <si>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</si>
  <si>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</si>
  <si>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</si>
  <si>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</si>
  <si>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</si>
  <si>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</si>
  <si>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</si>
  <si>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</si>
  <si>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</si>
  <si>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</si>
  <si>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</si>
  <si>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</si>
  <si>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</si>
  <si>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</si>
  <si>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</si>
  <si>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</si>
  <si>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</si>
  <si>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</si>
  <si>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</si>
  <si>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</si>
  <si>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</si>
  <si>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</si>
  <si>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</si>
  <si>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</si>
  <si>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</si>
  <si>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</si>
  <si>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</si>
  <si>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</si>
  <si>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</si>
  <si>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</si>
  <si>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</si>
  <si>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</si>
  <si>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</si>
  <si>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</si>
  <si>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</si>
  <si>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</si>
  <si>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</si>
  <si>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</si>
  <si>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</si>
  <si>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</si>
  <si>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</si>
  <si>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</si>
  <si>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</si>
  <si>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</si>
  <si>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</si>
  <si>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</si>
  <si>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</si>
  <si>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</si>
  <si>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</si>
  <si>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</si>
  <si>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</si>
  <si>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</si>
  <si>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</si>
  <si>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</si>
  <si>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</si>
  <si>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</si>
  <si>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</si>
  <si>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</si>
  <si>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</si>
  <si>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</si>
  <si>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</si>
  <si>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</si>
  <si>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</si>
  <si>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</si>
  <si>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</si>
  <si>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</si>
  <si>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</si>
  <si>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</si>
  <si>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</si>
  <si>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</si>
  <si>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</si>
  <si>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</si>
  <si>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</si>
  <si>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</si>
  <si>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</si>
  <si>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</si>
  <si>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</si>
  <si>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</si>
  <si>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</si>
  <si>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</si>
  <si>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</si>
  <si>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</si>
  <si>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</si>
  <si>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</si>
  <si>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</si>
  <si>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</si>
  <si>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</si>
  <si>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</si>
  <si>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</si>
  <si>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</si>
  <si>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</si>
  <si>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</si>
  <si>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</si>
  <si>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</si>
  <si>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</si>
  <si>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</si>
  <si>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</si>
  <si>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</si>
  <si>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</si>
  <si>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</si>
  <si>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</si>
  <si>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</si>
  <si>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</si>
  <si>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</si>
  <si>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</si>
  <si>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</si>
  <si>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</si>
  <si>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</si>
  <si>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</si>
  <si>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</si>
  <si>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</si>
  <si>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</si>
  <si>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</si>
  <si>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</si>
  <si>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</si>
  <si>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</si>
  <si>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</si>
  <si>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</si>
  <si>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</si>
  <si>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</si>
  <si>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</si>
  <si>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</si>
  <si>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</si>
  <si>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</si>
  <si>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</si>
  <si>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</si>
  <si>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</si>
  <si>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</si>
  <si>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</si>
  <si>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</si>
  <si>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</si>
  <si>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</si>
  <si>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</si>
  <si>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</si>
  <si>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</si>
  <si>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</si>
  <si>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</si>
  <si>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</si>
  <si>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</si>
  <si>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</si>
  <si>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</si>
  <si>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</si>
  <si>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</si>
  <si>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</si>
  <si>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</si>
  <si>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</si>
  <si>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</si>
  <si>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</si>
  <si>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</si>
  <si>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</si>
  <si>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</si>
  <si>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</si>
  <si>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</si>
  <si>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</si>
  <si>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</si>
  <si>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</si>
  <si>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</si>
  <si>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</si>
  <si>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</si>
  <si>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</si>
  <si>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</si>
  <si>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</si>
  <si>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</si>
  <si>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</si>
  <si>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</si>
  <si>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</si>
  <si>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</si>
  <si>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</si>
  <si>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</si>
  <si>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</si>
  <si>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</si>
  <si>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</si>
  <si>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</si>
  <si>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</si>
  <si>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</si>
  <si>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</si>
  <si>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</si>
  <si>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</si>
  <si>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</si>
  <si>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</si>
  <si>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</si>
  <si>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</si>
  <si>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</si>
  <si>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</si>
  <si>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</si>
  <si>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</si>
  <si>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</si>
  <si>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</si>
  <si>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</si>
  <si>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</si>
  <si>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</si>
  <si>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</si>
  <si>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</si>
  <si>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</si>
  <si>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</si>
  <si>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</si>
  <si>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</si>
  <si>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</si>
  <si>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</si>
  <si>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</si>
  <si>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</si>
  <si>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</si>
  <si>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</si>
  <si>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</si>
  <si>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</si>
  <si>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</si>
  <si>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</si>
  <si>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</si>
  <si>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</si>
  <si>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</si>
  <si>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</si>
  <si>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</si>
  <si>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</si>
  <si>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</si>
  <si>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</si>
  <si>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</si>
  <si>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</si>
  <si>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</si>
  <si>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</si>
  <si>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</si>
  <si>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</si>
  <si>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</si>
  <si>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</si>
  <si>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</si>
  <si>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</si>
  <si>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</si>
  <si>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</si>
  <si>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</si>
  <si>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</si>
  <si>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</si>
  <si>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</si>
  <si>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</si>
  <si>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</si>
  <si>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</si>
  <si>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</si>
  <si>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</si>
  <si>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</si>
  <si>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</si>
  <si>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</si>
  <si>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</si>
  <si>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</si>
  <si>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</si>
  <si>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</si>
  <si>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</si>
  <si>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</si>
  <si>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</si>
  <si>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</si>
  <si>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</si>
  <si>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</si>
  <si>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</si>
  <si>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</si>
  <si>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</si>
  <si>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</si>
  <si>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</si>
  <si>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</si>
  <si>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</si>
  <si>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</si>
  <si>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</si>
  <si>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</si>
  <si>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</si>
  <si>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</si>
  <si>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</si>
  <si>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</si>
  <si>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</si>
  <si>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</si>
  <si>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</si>
  <si>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</si>
  <si>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</si>
  <si>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</si>
  <si>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</si>
  <si>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</si>
  <si>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</si>
  <si>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</si>
  <si>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</si>
  <si>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</si>
  <si>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</si>
  <si>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</si>
  <si>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</si>
  <si>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</si>
  <si>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</si>
  <si>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</si>
  <si>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</si>
  <si>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</si>
  <si>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</si>
  <si>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</si>
  <si>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</si>
  <si>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</si>
  <si>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</si>
  <si>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</si>
  <si>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</si>
  <si>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</si>
  <si>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</si>
  <si>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</si>
  <si>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</si>
  <si>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</si>
  <si>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</si>
  <si>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</si>
  <si>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</si>
  <si>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</si>
  <si>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</si>
  <si>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</si>
  <si>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</si>
  <si>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</si>
  <si>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</si>
  <si>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</si>
  <si>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</si>
  <si>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</si>
  <si>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</si>
  <si>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</si>
  <si>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</si>
  <si>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</si>
  <si>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</si>
  <si>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</si>
  <si>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</si>
  <si>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</si>
  <si>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</si>
  <si>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</si>
  <si>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</si>
  <si>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</si>
  <si>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</si>
  <si>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</si>
  <si>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</si>
  <si>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</si>
  <si>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</si>
  <si>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</si>
  <si>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</si>
  <si>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</si>
  <si>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</si>
  <si>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</si>
  <si>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</si>
  <si>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</si>
  <si>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</si>
  <si>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</si>
  <si>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</si>
  <si>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</si>
  <si>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</si>
  <si>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</si>
  <si>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</si>
  <si>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</si>
  <si>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</si>
  <si>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</si>
  <si>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</si>
  <si>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</si>
  <si>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</si>
  <si>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</si>
  <si>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</si>
  <si>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</si>
  <si>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</si>
  <si>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</si>
  <si>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</si>
  <si>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</si>
  <si>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</si>
  <si>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</si>
  <si>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</si>
  <si>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</si>
  <si>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</si>
  <si>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</si>
  <si>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</si>
  <si>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</si>
  <si>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</si>
  <si>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</si>
  <si>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</si>
  <si>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</si>
  <si>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</si>
  <si>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</si>
  <si>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</si>
  <si>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</si>
  <si>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</si>
  <si>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</si>
  <si>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</si>
  <si>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</si>
  <si>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</si>
  <si>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</si>
  <si>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</si>
  <si>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</si>
  <si>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</si>
  <si>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</si>
  <si>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</si>
  <si>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</si>
  <si>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</si>
  <si>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</si>
  <si>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</si>
  <si>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</si>
  <si>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</si>
  <si>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</si>
  <si>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</si>
  <si>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</si>
  <si>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</si>
  <si>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</si>
  <si>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</si>
  <si>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</si>
  <si>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</si>
  <si>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</si>
  <si>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</si>
  <si>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</si>
  <si>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</si>
  <si>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</si>
  <si>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</si>
  <si>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</si>
  <si>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</si>
  <si>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</si>
  <si>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</si>
  <si>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</si>
  <si>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</si>
  <si>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</si>
  <si>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</si>
  <si>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</si>
  <si>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</si>
  <si>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</si>
  <si>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</si>
  <si>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</si>
  <si>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</si>
  <si>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</si>
  <si>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</si>
  <si>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</si>
  <si>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</si>
  <si>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</si>
  <si>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</si>
  <si>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</si>
  <si>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</si>
  <si>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</si>
  <si>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</si>
  <si>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</si>
  <si>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</si>
  <si>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</si>
  <si>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</si>
  <si>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</si>
  <si>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</si>
  <si>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</si>
  <si>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</si>
  <si>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</si>
  <si>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</si>
  <si>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</si>
  <si>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</si>
  <si>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</si>
  <si>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</si>
  <si>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</si>
  <si>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</si>
  <si>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</si>
  <si>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</si>
  <si>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</si>
  <si>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</si>
  <si>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</si>
  <si>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</si>
  <si>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</si>
  <si>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</si>
  <si>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</si>
  <si>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</si>
  <si>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</si>
  <si>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</si>
  <si>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</si>
  <si>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</si>
  <si>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</si>
  <si>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</si>
  <si>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</si>
  <si>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</si>
  <si>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</si>
  <si>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</si>
  <si>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</si>
  <si>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</si>
  <si>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</si>
  <si>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</si>
  <si>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</si>
  <si>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</si>
  <si>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</si>
  <si>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</si>
  <si>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</si>
  <si>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</si>
  <si>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</si>
  <si>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</si>
  <si>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</si>
  <si>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</si>
  <si>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</si>
  <si>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</si>
  <si>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</si>
  <si>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</si>
  <si>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</si>
  <si>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</si>
  <si>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</si>
  <si>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</si>
  <si>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</si>
  <si>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</si>
  <si>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</si>
  <si>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</si>
  <si>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</si>
  <si>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</si>
  <si>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</si>
  <si>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</si>
  <si>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</si>
  <si>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</si>
  <si>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</si>
  <si>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</si>
  <si>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</si>
  <si>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</si>
  <si>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</si>
  <si>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</si>
  <si>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</si>
  <si>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</si>
  <si>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</si>
  <si>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</si>
  <si>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</si>
  <si>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</si>
  <si>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</si>
  <si>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</si>
  <si>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</si>
  <si>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</si>
  <si>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</si>
  <si>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</si>
  <si>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</si>
  <si>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</si>
  <si>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</si>
  <si>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</si>
  <si>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</si>
  <si>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</si>
  <si>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</si>
  <si>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</si>
  <si>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</si>
  <si>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</si>
  <si>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</si>
  <si>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</si>
  <si>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</si>
  <si>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</si>
  <si>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</si>
  <si>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</si>
  <si>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</si>
  <si>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</si>
  <si>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</si>
  <si>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</si>
  <si>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</si>
  <si>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</si>
  <si>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</si>
  <si>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</si>
  <si>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</si>
  <si>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</si>
  <si>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</si>
  <si>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</si>
  <si>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</si>
  <si>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</si>
  <si>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</si>
  <si>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</si>
  <si>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</si>
  <si>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</si>
  <si>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</si>
  <si>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</si>
  <si>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</si>
  <si>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</si>
  <si>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</si>
  <si>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</si>
  <si>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</si>
  <si>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</si>
  <si>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</si>
  <si>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</si>
  <si>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</si>
  <si>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</si>
  <si>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</si>
  <si>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</si>
  <si>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</si>
  <si>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</si>
  <si>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</si>
  <si>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</si>
  <si>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</si>
  <si>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</si>
  <si>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</si>
  <si>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</si>
  <si>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</si>
  <si>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</si>
  <si>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</si>
  <si>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</si>
  <si>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</si>
  <si>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</si>
  <si>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</si>
  <si>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</si>
  <si>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</si>
  <si>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</si>
  <si>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</si>
  <si>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</si>
  <si>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</si>
  <si>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</si>
  <si>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</si>
  <si>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</si>
  <si>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</si>
  <si>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</si>
  <si>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</si>
  <si>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</si>
  <si>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</si>
  <si>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</si>
  <si>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</si>
  <si>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</si>
  <si>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</si>
  <si>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</si>
  <si>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</si>
  <si>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</si>
  <si>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</si>
  <si>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</si>
  <si>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</si>
  <si>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</si>
  <si>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</si>
  <si>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</si>
  <si>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</si>
  <si>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</si>
  <si>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</si>
  <si>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</si>
  <si>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</si>
  <si>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</si>
  <si>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</si>
  <si>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</si>
  <si>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</si>
  <si>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</si>
  <si>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</si>
  <si>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</si>
  <si>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</si>
  <si>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</si>
  <si>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</si>
  <si>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</si>
  <si>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</si>
  <si>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</si>
  <si>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</si>
  <si>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</si>
  <si>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</si>
  <si>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</si>
  <si>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</si>
  <si>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</si>
  <si>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</si>
  <si>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</si>
  <si>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</si>
  <si>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</si>
  <si>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</si>
  <si>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</si>
  <si>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</si>
  <si>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</si>
  <si>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</si>
  <si>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</si>
  <si>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</si>
  <si>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</si>
  <si>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</si>
  <si>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</si>
  <si>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</si>
  <si>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</si>
  <si>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</si>
  <si>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</si>
  <si>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</si>
  <si>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</si>
  <si>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</si>
  <si>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</si>
  <si>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</si>
  <si>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</si>
  <si>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</si>
  <si>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</si>
  <si>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</si>
  <si>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</si>
  <si>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</si>
  <si>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</si>
  <si>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</si>
  <si>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</si>
  <si>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</si>
  <si>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</si>
  <si>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</si>
  <si>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</si>
  <si>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</si>
  <si>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</si>
  <si>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</si>
  <si>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</si>
  <si>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</si>
  <si>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</si>
  <si>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</si>
  <si>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</si>
  <si>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</si>
  <si>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</si>
  <si>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</si>
  <si>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</si>
  <si>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</si>
  <si>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</si>
  <si>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</si>
  <si>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</si>
  <si>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</si>
  <si>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</si>
  <si>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</si>
  <si>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</si>
  <si>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</si>
  <si>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</si>
  <si>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</si>
  <si>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</si>
  <si>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</si>
  <si>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</si>
  <si>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</si>
  <si>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</si>
  <si>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</si>
  <si>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</si>
  <si>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</si>
  <si>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</si>
  <si>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</si>
  <si>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</si>
  <si>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</si>
  <si>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</si>
  <si>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</si>
  <si>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</si>
  <si>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</si>
  <si>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</si>
  <si>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</si>
  <si>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</si>
  <si>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</si>
  <si>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</si>
  <si>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</si>
  <si>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</si>
  <si>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</si>
  <si>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</si>
  <si>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</si>
  <si>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</si>
  <si>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</si>
  <si>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</si>
  <si>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</si>
  <si>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</si>
  <si>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</si>
  <si>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</si>
  <si>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</si>
  <si>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</si>
  <si>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</si>
  <si>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</si>
  <si>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</si>
  <si>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</si>
  <si>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</si>
  <si>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</si>
  <si>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</si>
  <si>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</si>
  <si>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</si>
  <si>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</si>
  <si>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</si>
  <si>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</si>
  <si>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</si>
  <si>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</si>
  <si>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</si>
  <si>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</si>
  <si>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</si>
  <si>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</si>
  <si>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</si>
  <si>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</si>
  <si>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</si>
  <si>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</si>
  <si>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</si>
  <si>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</si>
  <si>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</si>
  <si>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</si>
  <si>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</si>
  <si>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</si>
  <si>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</si>
  <si>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</si>
  <si>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</si>
  <si>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</si>
  <si>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</si>
  <si>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</si>
  <si>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</si>
  <si>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</si>
  <si>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</si>
  <si>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</si>
  <si>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</si>
  <si>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</si>
  <si>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</si>
  <si>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</si>
  <si>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</si>
  <si>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</si>
  <si>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</si>
  <si>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</si>
  <si>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</si>
  <si>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</si>
  <si>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</si>
  <si>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</si>
  <si>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</si>
  <si>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</si>
  <si>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</si>
  <si>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</si>
  <si>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</si>
  <si>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</si>
  <si>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</si>
  <si>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</si>
  <si>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</si>
  <si>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</si>
  <si>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</si>
  <si>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</si>
  <si>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</si>
  <si>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</si>
  <si>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</si>
  <si>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</si>
  <si>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</si>
  <si>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</si>
  <si>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</si>
  <si>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</si>
  <si>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</si>
  <si>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</si>
  <si>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</si>
  <si>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</si>
  <si>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</si>
  <si>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</si>
  <si>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</si>
  <si>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</si>
  <si>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</si>
  <si>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</si>
  <si>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</si>
  <si>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</si>
  <si>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</si>
  <si>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</si>
  <si>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</si>
  <si>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</si>
  <si>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</si>
  <si>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</si>
  <si>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</si>
  <si>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</si>
  <si>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</si>
  <si>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</si>
  <si>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</si>
  <si>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</si>
  <si>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</si>
  <si>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</si>
  <si>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</si>
  <si>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</si>
  <si>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</si>
  <si>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</si>
  <si>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</si>
  <si>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</si>
  <si>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</si>
  <si>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</si>
  <si>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</si>
  <si>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</si>
  <si>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</si>
  <si>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</si>
  <si>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</si>
  <si>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</si>
  <si>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</si>
  <si>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</si>
  <si>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</si>
  <si>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</si>
  <si>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</si>
  <si>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</si>
  <si>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</si>
  <si>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</si>
  <si>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</si>
  <si>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</si>
  <si>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</si>
  <si>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</si>
  <si>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</si>
  <si>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</si>
  <si>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</si>
  <si>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</si>
  <si>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</si>
  <si>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</si>
  <si>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</si>
  <si>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</si>
  <si>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</si>
  <si>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</si>
  <si>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</si>
  <si>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</si>
  <si>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</si>
  <si>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</si>
  <si>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</si>
  <si>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</si>
  <si>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</si>
  <si>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</si>
  <si>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</si>
  <si>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</si>
  <si>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</si>
  <si>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</si>
  <si>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</si>
  <si>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</si>
  <si>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</si>
  <si>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</si>
  <si>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</si>
  <si>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</si>
  <si>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</si>
  <si>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</si>
  <si>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</si>
  <si>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</si>
  <si>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</si>
  <si>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</si>
  <si>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</si>
  <si>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</si>
  <si>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</si>
  <si>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</si>
  <si>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</si>
  <si>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</si>
  <si>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</si>
  <si>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</si>
  <si>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</si>
  <si>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</si>
  <si>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</si>
  <si>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</si>
  <si>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</si>
  <si>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</si>
  <si>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</si>
  <si>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</si>
  <si>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</si>
  <si>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</si>
  <si>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</si>
  <si>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</si>
  <si>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</si>
  <si>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</si>
  <si>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</si>
  <si>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</si>
  <si>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</si>
  <si>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</si>
  <si>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</si>
  <si>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</si>
  <si>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</si>
  <si>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</si>
  <si>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</si>
  <si>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</si>
  <si>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</si>
  <si>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</si>
  <si>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</si>
  <si>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</si>
  <si>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</si>
  <si>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</si>
  <si>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</si>
  <si>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</si>
  <si>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</si>
  <si>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</si>
  <si>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</si>
  <si>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</si>
  <si>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</si>
  <si>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</si>
  <si>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</si>
  <si>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</si>
  <si>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</si>
  <si>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</si>
  <si>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</si>
  <si>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</si>
  <si>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</si>
  <si>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</si>
  <si>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</si>
  <si>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</si>
  <si>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</si>
  <si>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</si>
  <si>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</si>
  <si>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</si>
  <si>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</si>
  <si>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</si>
  <si>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</si>
  <si>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</si>
  <si>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</si>
  <si>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</si>
  <si>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</si>
  <si>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</si>
  <si>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</si>
  <si>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</si>
  <si>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</si>
  <si>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</si>
  <si>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</si>
  <si>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</si>
  <si>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</si>
  <si>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</si>
  <si>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</si>
  <si>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</si>
  <si>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</si>
  <si>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</si>
  <si>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</si>
  <si>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</si>
  <si>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</si>
  <si>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</si>
  <si>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</si>
  <si>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</si>
  <si>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</si>
  <si>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</si>
  <si>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</si>
  <si>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</si>
  <si>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</si>
  <si>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</si>
  <si>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</si>
  <si>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</si>
  <si>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</si>
  <si>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</si>
  <si>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</si>
  <si>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</si>
  <si>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</si>
  <si>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</si>
  <si>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</si>
  <si>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</si>
  <si>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</si>
  <si>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</si>
  <si>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</si>
  <si>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</si>
  <si>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</si>
  <si>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</si>
  <si>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</si>
  <si>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</si>
  <si>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</si>
  <si>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</si>
  <si>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</si>
  <si>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</si>
  <si>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</si>
  <si>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</si>
  <si>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</si>
  <si>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</si>
  <si>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</si>
  <si>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</si>
  <si>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</si>
  <si>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</si>
  <si>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</si>
  <si>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</si>
  <si>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</si>
  <si>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</si>
  <si>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</si>
  <si>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</si>
  <si>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</si>
  <si>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</si>
  <si>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</si>
  <si>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</si>
  <si>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</si>
  <si>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</si>
  <si>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</si>
  <si>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</si>
  <si>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</si>
  <si>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</si>
  <si>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</si>
  <si>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</si>
  <si>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</si>
  <si>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</si>
  <si>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</si>
  <si>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</si>
  <si>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</si>
  <si>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</si>
  <si>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</si>
  <si>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</si>
  <si>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</si>
  <si>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</si>
  <si>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</si>
  <si>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</si>
  <si>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</si>
  <si>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</si>
  <si>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</si>
  <si>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</si>
  <si>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</si>
  <si>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</si>
  <si>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</si>
  <si>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</si>
  <si>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</si>
  <si>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</si>
  <si>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</si>
  <si>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</si>
  <si>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</si>
  <si>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</si>
  <si>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</si>
  <si>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</si>
  <si>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</si>
  <si>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</si>
  <si>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</si>
  <si>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</si>
  <si>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</si>
  <si>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</si>
  <si>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</si>
  <si>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</si>
  <si>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</si>
  <si>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</si>
  <si>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</si>
  <si>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</si>
  <si>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</si>
  <si>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</si>
  <si>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</si>
  <si>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</si>
  <si>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</si>
  <si>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</si>
  <si>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</si>
  <si>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</si>
  <si>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</si>
  <si>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</si>
  <si>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</si>
  <si>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</si>
  <si>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</si>
  <si>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</si>
  <si>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</si>
  <si>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</si>
  <si>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</si>
  <si>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</si>
  <si>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</si>
  <si>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</si>
  <si>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</si>
  <si>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</si>
  <si>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</si>
  <si>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</si>
  <si>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</si>
  <si>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</si>
  <si>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</si>
  <si>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</si>
  <si>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</si>
  <si>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</si>
  <si>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</si>
  <si>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</si>
  <si>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</si>
  <si>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</si>
  <si>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</si>
  <si>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</si>
  <si>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</si>
  <si>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</si>
  <si>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</si>
  <si>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</si>
  <si>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</si>
  <si>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</si>
  <si>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</si>
  <si>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</si>
  <si>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</si>
  <si>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</si>
  <si>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</si>
  <si>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</si>
  <si>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</si>
  <si>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</si>
  <si>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</si>
  <si>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</si>
  <si>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</si>
  <si>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</si>
  <si>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</si>
  <si>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</si>
  <si>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</si>
  <si>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</si>
  <si>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</si>
  <si>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</si>
  <si>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</si>
  <si>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</si>
  <si>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</si>
  <si>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</si>
  <si>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</si>
  <si>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</si>
  <si>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</si>
  <si>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</si>
  <si>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</si>
  <si>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</si>
  <si>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</si>
  <si>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</si>
  <si>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</si>
  <si>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</si>
  <si>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</si>
  <si>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</si>
  <si>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</si>
  <si>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</si>
  <si>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</si>
  <si>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</si>
  <si>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</si>
  <si>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</si>
  <si>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</si>
  <si>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</si>
  <si>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</si>
  <si>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</si>
  <si>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</si>
  <si>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</si>
  <si>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</si>
  <si>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</si>
  <si>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</si>
  <si>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</si>
  <si>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</si>
  <si>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</si>
  <si>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</si>
  <si>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</si>
  <si>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</si>
  <si>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</si>
  <si>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</si>
  <si>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</si>
  <si>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</si>
  <si>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</si>
  <si>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</si>
  <si>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</si>
  <si>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</si>
  <si>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</si>
  <si>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</si>
  <si>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</si>
  <si>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</si>
  <si>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</si>
  <si>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</si>
  <si>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</si>
  <si>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</si>
  <si>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</si>
  <si>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</si>
  <si>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</si>
  <si>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</si>
  <si>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</si>
  <si>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</si>
  <si>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</si>
  <si>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</si>
  <si>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</si>
  <si>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</si>
  <si>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</si>
  <si>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</si>
  <si>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</si>
  <si>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</si>
  <si>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</si>
  <si>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</si>
  <si>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</si>
  <si>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</si>
  <si>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</si>
  <si>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</si>
  <si>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</si>
  <si>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</si>
  <si>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</si>
  <si>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</si>
  <si>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</si>
  <si>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</si>
  <si>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</si>
  <si>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</si>
  <si>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</si>
  <si>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</si>
  <si>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</si>
  <si>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</si>
  <si>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</si>
  <si>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</si>
  <si>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</si>
  <si>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</si>
  <si>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</si>
  <si>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</si>
  <si>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</si>
  <si>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</si>
  <si>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</si>
  <si>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</si>
  <si>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</si>
  <si>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</si>
  <si>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</si>
  <si>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</si>
  <si>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</si>
  <si>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</si>
  <si>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</si>
  <si>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</si>
  <si>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</si>
  <si>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</si>
  <si>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</si>
  <si>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</si>
  <si>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</si>
  <si>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</si>
  <si>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</si>
  <si>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</si>
  <si>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</si>
  <si>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</si>
  <si>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</si>
  <si>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</si>
  <si>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</si>
  <si>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</si>
  <si>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</si>
  <si>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</si>
  <si>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</si>
  <si>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</si>
  <si>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</si>
  <si>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</si>
  <si>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</si>
  <si>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</si>
  <si>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</si>
  <si>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</si>
  <si>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</si>
  <si>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</si>
  <si>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</si>
  <si>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</si>
  <si>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</si>
  <si>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</si>
  <si>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</si>
  <si>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</si>
  <si>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</si>
  <si>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</si>
  <si>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</si>
  <si>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</si>
  <si>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</si>
  <si>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</si>
  <si>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</si>
  <si>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</si>
  <si>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</si>
  <si>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</si>
  <si>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</si>
  <si>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</si>
  <si>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</si>
  <si>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</si>
  <si>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</si>
  <si>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</si>
  <si>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</si>
  <si>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</si>
  <si>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</si>
  <si>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</si>
  <si>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</si>
  <si>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</si>
  <si>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</si>
  <si>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</si>
  <si>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</si>
  <si>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</si>
  <si>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</si>
  <si>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</si>
  <si>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</si>
  <si>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</si>
  <si>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</si>
  <si>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</si>
  <si>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</si>
  <si>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</si>
  <si>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</si>
  <si>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</si>
  <si>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</si>
  <si>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</si>
  <si>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</si>
  <si>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</si>
  <si>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</si>
  <si>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</si>
  <si>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</si>
  <si>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</si>
  <si>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</si>
  <si>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</si>
  <si>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</si>
  <si>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</si>
  <si>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</si>
  <si>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</si>
  <si>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</si>
  <si>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</si>
  <si>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</si>
  <si>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</si>
  <si>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</si>
  <si>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</si>
  <si>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</si>
  <si>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</si>
  <si>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</si>
  <si>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</si>
  <si>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</si>
  <si>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</si>
  <si>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</si>
  <si>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</si>
  <si>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</si>
  <si>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</si>
  <si>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</si>
  <si>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</si>
  <si>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</si>
  <si>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</si>
  <si>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</si>
  <si>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</si>
  <si>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</si>
  <si>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</si>
  <si>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</si>
  <si>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</si>
  <si>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</si>
  <si>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</si>
  <si>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</si>
  <si>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</si>
  <si>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</si>
  <si>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</si>
  <si>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</si>
  <si>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</si>
  <si>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</si>
  <si>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</si>
  <si>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</si>
  <si>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</si>
  <si>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</si>
  <si>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</si>
  <si>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</si>
  <si>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</si>
  <si>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</si>
  <si>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</si>
  <si>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</si>
  <si>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</si>
  <si>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</si>
  <si>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</si>
  <si>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</si>
  <si>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</si>
  <si>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</si>
  <si>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</si>
  <si>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</si>
  <si>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</si>
  <si>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</si>
  <si>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</si>
  <si>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</si>
  <si>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</si>
  <si>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</si>
  <si>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</si>
  <si>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</si>
  <si>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</si>
  <si>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</si>
  <si>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</si>
  <si>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</si>
  <si>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</si>
  <si>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</si>
  <si>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</si>
  <si>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</si>
  <si>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</si>
  <si>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</si>
  <si>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</si>
  <si>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</si>
  <si>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</si>
  <si>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</si>
  <si>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</si>
  <si>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</si>
  <si>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</si>
  <si>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</si>
  <si>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</si>
  <si>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</si>
  <si>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</si>
  <si>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</si>
  <si>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</si>
  <si>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</si>
  <si>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</si>
  <si>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</si>
  <si>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</si>
  <si>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</si>
  <si>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</si>
  <si>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</si>
  <si>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</si>
  <si>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</si>
  <si>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</si>
  <si>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</si>
  <si>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</si>
  <si>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</si>
  <si>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</si>
  <si>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</si>
  <si>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</si>
  <si>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</si>
  <si>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</si>
  <si>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</si>
  <si>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</si>
  <si>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</si>
  <si>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</si>
  <si>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</si>
  <si>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</si>
  <si>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</si>
  <si>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</si>
  <si>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</si>
  <si>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</si>
  <si>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</si>
  <si>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</si>
  <si>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</si>
  <si>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</si>
  <si>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</si>
  <si>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</si>
  <si>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</si>
  <si>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</si>
  <si>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</si>
  <si>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</si>
  <si>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</si>
  <si>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</si>
  <si>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</si>
  <si>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</si>
  <si>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</si>
  <si>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</si>
  <si>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</si>
  <si>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</si>
  <si>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</si>
  <si>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</si>
  <si>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</si>
  <si>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</si>
  <si>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</si>
  <si>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</si>
  <si>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</si>
  <si>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</si>
  <si>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</si>
  <si>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</si>
  <si>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</si>
  <si>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</si>
  <si>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</si>
  <si>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</si>
  <si>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</si>
  <si>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</si>
  <si>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</si>
  <si>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</si>
  <si>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</si>
  <si>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</si>
  <si>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</si>
  <si>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</si>
  <si>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</si>
  <si>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</si>
  <si>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</si>
  <si>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</si>
  <si>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</si>
  <si>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</si>
  <si>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</si>
  <si>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</si>
  <si>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</si>
  <si>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</si>
  <si>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</si>
  <si>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</si>
  <si>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</si>
  <si>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</si>
  <si>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</si>
  <si>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</si>
  <si>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</si>
  <si>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</si>
  <si>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</si>
  <si>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</si>
  <si>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</si>
  <si>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</si>
  <si>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</si>
  <si>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</si>
  <si>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</si>
  <si>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</si>
  <si>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</si>
  <si>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</si>
  <si>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</si>
  <si>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</si>
  <si>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</si>
  <si>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</si>
  <si>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</si>
  <si>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</si>
  <si>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</si>
  <si>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</si>
  <si>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</si>
  <si>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</si>
  <si>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</si>
  <si>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</si>
  <si>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</si>
  <si>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</si>
  <si>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</si>
  <si>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</si>
  <si>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</si>
  <si>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</si>
  <si>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</si>
  <si>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</si>
  <si>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</si>
  <si>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</si>
  <si>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</si>
  <si>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</si>
  <si>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</si>
  <si>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</si>
  <si>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</si>
  <si>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</si>
  <si>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</si>
  <si>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</si>
  <si>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</si>
  <si>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</si>
  <si>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</si>
  <si>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</si>
  <si>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</si>
  <si>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</si>
  <si>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</si>
  <si>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</si>
  <si>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</si>
  <si>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</si>
  <si>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</si>
  <si>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</si>
  <si>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</si>
  <si>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</si>
  <si>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</si>
  <si>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</si>
  <si>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</si>
  <si>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</si>
  <si>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</si>
  <si>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</si>
  <si>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</si>
  <si>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</si>
  <si>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</si>
  <si>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</si>
  <si>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</si>
  <si>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</si>
  <si>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</si>
  <si>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</si>
  <si>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</si>
  <si>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</si>
  <si>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</si>
  <si>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</si>
  <si>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</si>
  <si>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</si>
  <si>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</si>
  <si>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</si>
  <si>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</si>
  <si>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</si>
  <si>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</si>
  <si>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</si>
  <si>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</si>
  <si>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</si>
  <si>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</si>
  <si>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</si>
  <si>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</si>
  <si>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</si>
  <si>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</si>
  <si>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</si>
  <si>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</si>
  <si>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</si>
  <si>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</si>
  <si>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</si>
  <si>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</si>
  <si>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</si>
  <si>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</si>
  <si>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</si>
  <si>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</si>
  <si>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</si>
  <si>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</si>
  <si>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</si>
  <si>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</si>
  <si>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</si>
  <si>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</si>
  <si>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</si>
  <si>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</si>
  <si>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</si>
  <si>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</si>
  <si>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</si>
  <si>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</si>
  <si>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</si>
  <si>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</si>
  <si>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</si>
  <si>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</si>
  <si>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</si>
  <si>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</si>
  <si>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</si>
  <si>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</si>
  <si>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</si>
  <si>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</si>
  <si>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</si>
  <si>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</si>
  <si>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</si>
  <si>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</si>
  <si>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</si>
  <si>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</si>
  <si>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</si>
  <si>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</si>
  <si>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</si>
  <si>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</si>
  <si>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</si>
  <si>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</si>
  <si>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</si>
  <si>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</si>
  <si>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</si>
  <si>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</si>
  <si>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</si>
  <si>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</si>
  <si>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</si>
  <si>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</si>
  <si>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</si>
  <si>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</si>
  <si>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</si>
  <si>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</si>
  <si>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</si>
  <si>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</si>
  <si>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</si>
  <si>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</si>
  <si>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</si>
  <si>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</si>
  <si>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</si>
  <si>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</si>
  <si>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</si>
  <si>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</si>
  <si>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</si>
  <si>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</si>
  <si>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</si>
  <si>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</si>
  <si>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</si>
  <si>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</si>
  <si>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</si>
  <si>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</si>
  <si>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</si>
  <si>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</si>
  <si>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</si>
  <si>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</si>
  <si>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</si>
  <si>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</si>
  <si>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</si>
  <si>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</si>
  <si>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</si>
  <si>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</si>
  <si>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</si>
  <si>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</si>
  <si>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</si>
  <si>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</si>
  <si>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</si>
  <si>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</si>
  <si>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</si>
  <si>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</si>
  <si>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</si>
  <si>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</si>
  <si>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</si>
  <si>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</si>
  <si>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</si>
  <si>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</si>
  <si>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</si>
  <si>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</si>
  <si>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</si>
  <si>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</si>
  <si>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</si>
  <si>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</si>
  <si>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</si>
  <si>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</si>
  <si>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</si>
  <si>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</si>
  <si>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</si>
  <si>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</si>
  <si>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</si>
  <si>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</si>
  <si>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</si>
  <si>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</si>
  <si>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</si>
  <si>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</si>
  <si>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</si>
  <si>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</si>
  <si>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</si>
  <si>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</si>
  <si>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</si>
  <si>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</si>
  <si>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</si>
  <si>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</si>
  <si>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</si>
  <si>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</si>
  <si>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</si>
  <si>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</si>
  <si>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</si>
  <si>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</si>
  <si>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</si>
  <si>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</si>
  <si>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</si>
  <si>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</si>
  <si>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</si>
  <si>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</si>
  <si>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</si>
  <si>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</si>
  <si>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</si>
  <si>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</si>
  <si>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</si>
  <si>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</si>
  <si>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</si>
  <si>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</si>
  <si>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</si>
  <si>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</si>
  <si>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</si>
  <si>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</si>
  <si>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</si>
  <si>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</si>
  <si>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</si>
  <si>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</si>
  <si>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</si>
  <si>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</si>
  <si>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</si>
  <si>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</si>
  <si>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</si>
  <si>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</si>
  <si>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</si>
  <si>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</si>
  <si>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</si>
  <si>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</si>
  <si>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</si>
  <si>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</si>
  <si>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</si>
  <si>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</si>
  <si>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</si>
  <si>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</si>
  <si>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</si>
  <si>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</si>
  <si>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</si>
  <si>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</si>
  <si>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</si>
  <si>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</si>
  <si>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</si>
  <si>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</si>
  <si>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</si>
  <si>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</si>
  <si>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</si>
  <si>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</si>
  <si>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</si>
  <si>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</si>
  <si>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</si>
  <si>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</si>
  <si>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</si>
  <si>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</si>
  <si>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</si>
  <si>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</si>
  <si>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</si>
  <si>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</si>
  <si>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</si>
  <si>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</si>
  <si>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</si>
  <si>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</si>
  <si>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</si>
  <si>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</si>
  <si>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</si>
  <si>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</si>
  <si>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</si>
  <si>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</si>
  <si>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</si>
  <si>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</si>
  <si>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</si>
  <si>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</si>
  <si>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</si>
  <si>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</si>
  <si>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</si>
  <si>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</si>
  <si>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</si>
  <si>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</si>
  <si>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</si>
  <si>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</si>
  <si>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</si>
  <si>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</si>
  <si>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</si>
  <si>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</si>
  <si>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</si>
  <si>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</si>
  <si>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</si>
  <si>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</si>
  <si>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</si>
  <si>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</si>
  <si>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</si>
  <si>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</si>
  <si>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</si>
  <si>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</si>
  <si>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</si>
  <si>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</si>
  <si>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</si>
  <si>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</si>
  <si>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</si>
  <si>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</si>
  <si>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</si>
  <si>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</si>
  <si>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</si>
  <si>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</si>
  <si>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</si>
  <si>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</si>
  <si>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</si>
  <si>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</si>
  <si>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</si>
  <si>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</si>
  <si>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</si>
  <si>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</si>
  <si>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</si>
  <si>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</si>
  <si>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</si>
  <si>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</si>
  <si>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</si>
  <si>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</si>
  <si>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</si>
  <si>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</si>
  <si>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</si>
  <si>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</si>
  <si>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</si>
  <si>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</si>
  <si>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</si>
  <si>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</si>
  <si>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</si>
  <si>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</si>
  <si>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</si>
  <si>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</si>
  <si>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</si>
  <si>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</si>
  <si>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</si>
  <si>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</si>
  <si>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</si>
  <si>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</si>
  <si>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</si>
  <si>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</si>
  <si>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</si>
  <si>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</si>
  <si>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</si>
  <si>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</si>
  <si>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</si>
  <si>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</si>
  <si>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</si>
  <si>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</si>
  <si>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</si>
  <si>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</si>
  <si>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</si>
  <si>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</si>
  <si>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</si>
  <si>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</si>
  <si>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</si>
  <si>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</si>
  <si>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</si>
  <si>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</si>
  <si>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</si>
  <si>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</si>
  <si>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</si>
  <si>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</si>
  <si>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</si>
  <si>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</si>
  <si>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</si>
  <si>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</si>
  <si>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</si>
  <si>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</si>
  <si>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</si>
  <si>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</si>
  <si>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</si>
  <si>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</si>
  <si>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</si>
  <si>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</si>
  <si>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</si>
  <si>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</si>
  <si>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</si>
  <si>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</si>
  <si>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</si>
  <si>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</si>
  <si>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</si>
  <si>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</si>
  <si>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</si>
  <si>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</si>
  <si>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</si>
  <si>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</si>
  <si>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</si>
  <si>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</si>
  <si>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</si>
  <si>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</si>
  <si>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</si>
  <si>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</si>
  <si>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</si>
  <si>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</si>
  <si>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</si>
  <si>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</si>
  <si>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</si>
  <si>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</si>
  <si>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</si>
  <si>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</si>
  <si>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</si>
  <si>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</si>
  <si>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</si>
  <si>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</si>
  <si>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</si>
  <si>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</si>
  <si>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</si>
  <si>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</si>
  <si>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</si>
  <si>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</si>
  <si>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</si>
  <si>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</si>
  <si>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</si>
  <si>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</si>
  <si>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</si>
  <si>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</si>
  <si>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</si>
  <si>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</si>
  <si>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</si>
  <si>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</si>
  <si>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</si>
  <si>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</si>
  <si>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</si>
  <si>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</si>
  <si>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</si>
  <si>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</si>
  <si>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</si>
  <si>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</si>
  <si>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</si>
  <si>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</si>
  <si>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</si>
  <si>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</si>
  <si>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</si>
  <si>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</si>
  <si>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</si>
  <si>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</si>
  <si>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</si>
  <si>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</si>
  <si>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</si>
  <si>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</si>
  <si>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</si>
  <si>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</si>
  <si>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</si>
  <si>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</si>
  <si>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</si>
  <si>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</si>
  <si>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</si>
  <si>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</si>
  <si>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</si>
  <si>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</si>
  <si>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</si>
  <si>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</si>
  <si>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</si>
  <si>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</si>
  <si>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</si>
  <si>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</si>
  <si>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</si>
  <si>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</si>
  <si>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</si>
  <si>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</si>
  <si>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</si>
  <si>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</si>
  <si>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</si>
  <si>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</si>
  <si>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</si>
  <si>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</si>
  <si>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</si>
  <si>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</si>
  <si>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</si>
  <si>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</si>
  <si>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</si>
  <si>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</si>
  <si>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</si>
  <si>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</si>
  <si>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</si>
  <si>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</si>
  <si>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</si>
  <si>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</si>
  <si>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</si>
  <si>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</si>
  <si>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</si>
  <si>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</si>
  <si>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</si>
  <si>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</si>
  <si>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</si>
  <si>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</si>
  <si>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</si>
  <si>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</si>
  <si>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</si>
  <si>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</si>
  <si>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</si>
  <si>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</si>
  <si>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</si>
  <si>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</si>
  <si>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</si>
  <si>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</si>
  <si>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</si>
  <si>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</si>
  <si>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</si>
  <si>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</si>
  <si>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</si>
  <si>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</si>
  <si>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</si>
  <si>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</si>
  <si>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</si>
  <si>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</si>
  <si>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</si>
  <si>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</si>
  <si>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</si>
  <si>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</si>
  <si>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</si>
  <si>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</si>
  <si>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</si>
  <si>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</si>
  <si>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</si>
  <si>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</si>
  <si>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</si>
  <si>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</si>
  <si>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</si>
  <si>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</si>
  <si>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</si>
  <si>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</si>
  <si>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</si>
  <si>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</si>
  <si>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</si>
  <si>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</si>
  <si>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</si>
  <si>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</si>
  <si>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</si>
  <si>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</si>
  <si>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</si>
  <si>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</si>
  <si>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</si>
  <si>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</si>
  <si>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</si>
  <si>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</si>
  <si>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</si>
  <si>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</si>
  <si>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</si>
  <si>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</si>
  <si>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</si>
  <si>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</si>
  <si>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</si>
  <si>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</si>
  <si>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</si>
  <si>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</si>
  <si>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</si>
  <si>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</si>
  <si>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</si>
  <si>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</si>
  <si>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</si>
  <si>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</si>
  <si>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</si>
  <si>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</si>
  <si>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</si>
  <si>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</si>
  <si>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</si>
  <si>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</si>
  <si>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</si>
  <si>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</si>
  <si>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</si>
  <si>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</si>
  <si>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</si>
  <si>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</si>
  <si>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</si>
  <si>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</si>
  <si>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</si>
  <si>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</si>
  <si>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</si>
  <si>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</si>
  <si>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</si>
  <si>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</si>
  <si>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</si>
  <si>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</si>
  <si>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</si>
  <si>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</si>
  <si>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</si>
  <si>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</si>
  <si>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</si>
  <si>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</si>
  <si>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</si>
  <si>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</si>
  <si>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</si>
  <si>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</si>
  <si>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</si>
  <si>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</si>
  <si>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</si>
  <si>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</si>
  <si>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</si>
  <si>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</si>
  <si>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</si>
  <si>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</si>
  <si>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</si>
  <si>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</si>
  <si>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</si>
  <si>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</si>
  <si>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</si>
  <si>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</si>
  <si>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</si>
  <si>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</si>
  <si>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</si>
  <si>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</si>
  <si>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</si>
  <si>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</si>
  <si>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</si>
  <si>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</si>
  <si>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</si>
  <si>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</si>
  <si>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</si>
  <si>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</si>
  <si>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</si>
  <si>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</si>
  <si>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</si>
  <si>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</si>
  <si>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</si>
  <si>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</si>
  <si>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</si>
  <si>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</si>
  <si>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</si>
  <si>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</si>
  <si>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</si>
  <si>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</si>
  <si>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</si>
  <si>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</si>
  <si>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</si>
  <si>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</si>
  <si>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</si>
  <si>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</si>
  <si>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</si>
  <si>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</si>
  <si>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</si>
  <si>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</si>
  <si>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</si>
  <si>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</si>
  <si>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</si>
  <si>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</si>
  <si>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</si>
  <si>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</si>
  <si>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</si>
  <si>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</si>
  <si>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</si>
  <si>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</si>
  <si>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</si>
  <si>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</si>
  <si>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</si>
  <si>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</si>
  <si>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</si>
  <si>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</si>
  <si>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</si>
  <si>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</si>
  <si>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</si>
  <si>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</si>
  <si>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</si>
  <si>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</si>
  <si>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</si>
  <si>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</si>
  <si>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</si>
  <si>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</si>
  <si>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</si>
  <si>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Бор</t>
  </si>
  <si>
    <t>22712000</t>
  </si>
  <si>
    <t>город Выкса</t>
  </si>
  <si>
    <t>22715000</t>
  </si>
  <si>
    <t>город Дзержинск</t>
  </si>
  <si>
    <t>22721000</t>
  </si>
  <si>
    <t>город Кулебаки</t>
  </si>
  <si>
    <t>22727000</t>
  </si>
  <si>
    <t>город Первомайск</t>
  </si>
  <si>
    <t>22734000</t>
  </si>
  <si>
    <t>город Шахунья</t>
  </si>
  <si>
    <t>22758000</t>
  </si>
  <si>
    <t>NUMBER_POINT</t>
  </si>
  <si>
    <t>INVP_NAME</t>
  </si>
  <si>
    <t>INVP_ID</t>
  </si>
  <si>
    <t>L_START_DATE</t>
  </si>
  <si>
    <t>L_END_DATE</t>
  </si>
  <si>
    <t>L_DECISION_NAME</t>
  </si>
  <si>
    <t>L_DECISION_TYPE</t>
  </si>
  <si>
    <t>L_DECISION_NMBR</t>
  </si>
  <si>
    <t>L_DECISION_DATE</t>
  </si>
  <si>
    <t>7302579988</t>
  </si>
  <si>
    <t>Инвестиционная программа АО «Теплоэнерго» на 2023-2047 гг.</t>
  </si>
  <si>
    <t>6176546579</t>
  </si>
  <si>
    <t>TER_NAME</t>
  </si>
  <si>
    <t>Территория 1</t>
  </si>
  <si>
    <t>Территория 2</t>
  </si>
  <si>
    <t>Территория 3</t>
  </si>
  <si>
    <t>ID_TARIFF_NAME</t>
  </si>
  <si>
    <t>TARIFF_NAME</t>
  </si>
  <si>
    <t>VED_NAME</t>
  </si>
  <si>
    <t>4190064</t>
  </si>
  <si>
    <t>4190065</t>
  </si>
  <si>
    <t>4190066</t>
  </si>
  <si>
    <t>4190068</t>
  </si>
  <si>
    <t>4190069</t>
  </si>
  <si>
    <t>4190070</t>
  </si>
  <si>
    <t>4190071</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</si>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</sst>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921" formatCode="_-* #,##0.00\ _₽_-;\-* #,##0.00\ _₽_-;_-* &quot;-&quot;??\ _₽_-;_-@_-"/>
    <numFmt numFmtId="2922" formatCode="_-* #,##0\ _₽_-;\-* #,##0\ _₽_-;_-* &quot;-&quot;\ _₽_-;_-@_-"/>
    <numFmt numFmtId="2923" formatCode="_-* #,##0.00\ &quot;₽&quot;_-;\-* #,##0.00\ &quot;₽&quot;_-;_-* &quot;-&quot;??\ &quot;₽&quot;_-;_-@_-"/>
    <numFmt numFmtId="2924" formatCode="_-* #,##0\ &quot;₽&quot;_-;\-* #,##0\ &quot;₽&quot;_-;_-* &quot;-&quot;\ &quot;₽&quot;_-;_-@_-"/>
    <numFmt numFmtId="2925" formatCode="_-* #,##0.00[$€-1]_-;\-* #,##0.00[$€-1]_-;_-* &quot;-&quot;??[$€-1]_-"/>
    <numFmt numFmtId="2926" formatCode="#,##0.0"/>
    <numFmt numFmtId="2927" formatCode="#,##0.000"/>
    <numFmt numFmtId="2928" formatCode="#,##0.0000"/>
    <numFmt numFmtId="2929" formatCode="dd\.mm\.yyyy"/>
    <numFmt numFmtId="2930" formatCode="000000"/>
    <numFmt numFmtId="2931"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921" fontId="6" fillId="0" borderId="0" applyFont="0" applyFill="0" applyBorder="0" applyNumberFormat="1">
      <alignment vertical="top"/>
    </xf>
    <xf numFmtId="2922" fontId="6" fillId="0" borderId="0" applyFont="0" applyFill="0" applyBorder="0" applyNumberFormat="1">
      <alignment vertical="top"/>
    </xf>
    <xf numFmtId="2923" fontId="6" fillId="0" borderId="0" applyFont="0" applyFill="0" applyBorder="0" applyNumberFormat="1">
      <alignment vertical="top"/>
    </xf>
    <xf numFmtId="292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925" fontId="20" fillId="0" borderId="0" applyFont="1" applyFill="0" applyBorder="0" applyNumberFormat="1"/>
    <xf numFmtId="38" fontId="21" fillId="0" borderId="0" applyFont="1" applyFill="0" applyBorder="0" applyNumberFormat="1">
      <alignment vertical="top"/>
    </xf>
    <xf numFmtId="2926" fontId="22" fillId="33" borderId="0" applyFont="1" applyFill="1" applyBorder="0" applyNumberFormat="1">
      <protection locked="0"/>
    </xf>
    <xf numFmtId="0" fontId="23" fillId="0" borderId="0" applyFont="1" applyFill="0" applyBorder="0">
      <alignment vertical="center"/>
    </xf>
    <xf numFmtId="2927" fontId="22" fillId="33" borderId="0" applyFont="1" applyFill="1" applyBorder="0" applyNumberFormat="1">
      <protection locked="0"/>
    </xf>
    <xf numFmtId="292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1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921" fontId="6" fillId="0" borderId="0" xfId="28" applyFont="0" applyNumberFormat="1">
      <alignment vertical="top"/>
    </xf>
    <xf numFmtId="2922" fontId="6" fillId="0" borderId="0" xfId="29" applyFont="0" applyNumberFormat="1">
      <alignment vertical="top"/>
    </xf>
    <xf numFmtId="2923" fontId="6" fillId="0" borderId="0" xfId="30" applyFont="0" applyNumberFormat="1">
      <alignment vertical="top"/>
    </xf>
    <xf numFmtId="2924"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925" fontId="20" fillId="0" borderId="0" xfId="49" applyFont="1" applyNumberFormat="1"/>
    <xf numFmtId="38" fontId="21" fillId="0" borderId="0" xfId="50" applyFont="1" applyNumberFormat="1">
      <alignment vertical="top"/>
    </xf>
    <xf numFmtId="2926" fontId="22" fillId="33" borderId="0" xfId="51" applyFont="1" applyFill="1" applyNumberFormat="1">
      <protection locked="0"/>
    </xf>
    <xf numFmtId="0" fontId="23" fillId="0" borderId="0" xfId="52" applyFont="1">
      <alignment vertical="center"/>
    </xf>
    <xf numFmtId="2927" fontId="22" fillId="33" borderId="0" xfId="53" applyFont="1" applyFill="1" applyNumberFormat="1">
      <protection locked="0"/>
    </xf>
    <xf numFmtId="292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930"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92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928"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928"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928"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930"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928"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928" fontId="22" fillId="39" borderId="13" xfId="0" applyFont="1" applyFill="1" applyBorder="1" applyNumberFormat="1">
      <alignment horizontal="right" vertical="center" wrapText="1"/>
      <protection locked="0"/>
    </xf>
    <xf numFmtId="292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927"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927"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927"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927" fontId="47" fillId="0" borderId="12" xfId="0" applyFont="1" applyBorder="1" applyNumberFormat="1">
      <alignment horizontal="right" vertical="center" wrapText="1"/>
    </xf>
    <xf numFmtId="2927"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927"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930"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930"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930"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929" fontId="0" fillId="39" borderId="12" xfId="0" applyFont="1" applyFill="1" applyBorder="1" applyNumberFormat="1">
      <alignment horizontal="left" vertical="center" wrapText="1" indent="1"/>
      <protection locked="0"/>
    </xf>
    <xf numFmtId="2929" fontId="0" fillId="0" borderId="12" xfId="0" applyFont="1" applyBorder="1" applyNumberFormat="1">
      <alignment horizontal="left" vertical="center" wrapText="1" indent="1"/>
    </xf>
    <xf numFmtId="2929" fontId="0" fillId="39" borderId="12" xfId="0" applyFont="1" applyFill="1" applyBorder="1" applyNumberFormat="1">
      <alignment horizontal="center" vertical="center" wrapText="1"/>
      <protection locked="0"/>
    </xf>
    <xf numFmtId="2929" fontId="47" fillId="0" borderId="0" xfId="0" applyFont="1" applyNumberFormat="1">
      <alignment horizontal="center" vertical="center" wrapText="1"/>
    </xf>
    <xf numFmtId="2929" fontId="47" fillId="0" borderId="12" xfId="0" applyFont="1" applyBorder="1" applyNumberFormat="1">
      <alignment horizontal="center" vertical="center" wrapText="1"/>
    </xf>
    <xf numFmtId="2929" fontId="0" fillId="39" borderId="12" xfId="0" applyFont="1" applyFill="1" applyBorder="1" applyNumberFormat="1">
      <alignment horizontal="left" vertical="center" wrapText="1"/>
      <protection locked="0"/>
    </xf>
    <xf numFmtId="2929" fontId="0" fillId="36" borderId="12" xfId="0" applyFont="1" applyFill="1" applyBorder="1" applyNumberFormat="1">
      <alignment horizontal="left" vertical="center" wrapText="1" indent="1"/>
      <protection locked="0"/>
    </xf>
    <xf numFmtId="2929"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929" fontId="0" fillId="39" borderId="14" xfId="0" applyFont="1" applyFill="1" applyBorder="1" applyNumberFormat="1">
      <alignment horizontal="left" vertical="center" wrapText="1"/>
      <protection locked="0"/>
    </xf>
    <xf numFmtId="292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9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930"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930"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930" fontId="44" fillId="0" borderId="19" xfId="0" applyFont="1" applyBorder="1" applyNumberFormat="1">
      <alignment horizontal="center" vertical="center" wrapText="1"/>
    </xf>
    <xf numFmtId="2930" fontId="44" fillId="0" borderId="20" xfId="0" applyFont="1" applyBorder="1" applyNumberFormat="1">
      <alignment horizontal="center" vertical="center" wrapText="1"/>
    </xf>
    <xf numFmtId="2931" fontId="22" fillId="39" borderId="12" xfId="0" applyFont="1" applyFill="1" applyBorder="1" applyNumberFormat="1">
      <alignment horizontal="left" vertical="center" wrapText="1" indent="1"/>
      <protection locked="0"/>
    </xf>
    <xf numFmtId="292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929"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929"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927"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929" fontId="22" fillId="34" borderId="12" xfId="0" applyFont="1" applyFill="1" applyBorder="1" applyNumberFormat="1">
      <alignment horizontal="left" vertical="center" wrapText="1" indent="1"/>
    </xf>
    <xf numFmtId="29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929"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92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92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930" fontId="22" fillId="0" borderId="17" xfId="0" applyFont="1" applyBorder="1" applyNumberFormat="1">
      <alignment horizontal="center" vertical="center" wrapText="1"/>
    </xf>
    <xf numFmtId="2930" fontId="22" fillId="0" borderId="23" xfId="0" applyFont="1" applyBorder="1" applyNumberFormat="1">
      <alignment horizontal="center" vertical="center" wrapText="1"/>
    </xf>
    <xf numFmtId="2930" fontId="22" fillId="0" borderId="14" xfId="0" applyFont="1" applyBorder="1" applyNumberFormat="1">
      <alignment horizontal="center" vertical="center" wrapText="1"/>
    </xf>
    <xf numFmtId="2930" fontId="22" fillId="0" borderId="15" xfId="0" applyFont="1" applyBorder="1" applyNumberFormat="1">
      <alignment horizontal="center" vertical="center" wrapText="1"/>
    </xf>
    <xf numFmtId="2930"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930" fontId="22" fillId="0" borderId="36" xfId="0" applyFont="1" applyBorder="1" applyNumberFormat="1">
      <alignment horizontal="center" vertical="center" wrapText="1"/>
    </xf>
    <xf numFmtId="2930" fontId="22" fillId="0" borderId="12" xfId="0" applyFont="1" applyBorder="1" applyNumberFormat="1">
      <alignment horizontal="center" vertical="center" wrapText="1"/>
    </xf>
    <xf numFmtId="2930"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92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92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929"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 fontId="22" fillId="36" borderId="14" xfId="0" applyFont="1" applyFill="1" applyBorder="1" applyNumberFormat="1">
      <alignment horizontal="righ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0" fontId="29" fillId="0" borderId="0" xfId="0" applyFont="1"/>
    <xf numFmtId="2929" fontId="0" fillId="39" borderId="11" xfId="0" applyFont="1" applyFill="1" applyBorder="1" applyNumberFormat="1">
      <alignment horizontal="left" vertical="center" wrapText="1" indent="1"/>
      <protection locked="0"/>
    </xf>
    <xf numFmtId="0" fontId="22" fillId="40" borderId="17" xfId="0" applyFont="1" applyFill="1" applyBorder="1">
      <alignment horizontal="left" vertical="center" wrapText="1" indent="1"/>
      <protection locked="0"/>
    </xf>
    <xf numFmtId="0" fontId="22" fillId="40" borderId="23" xfId="0" applyFont="1" applyFill="1" applyBorder="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49" fontId="0" fillId="0" borderId="12" xfId="0" applyFont="1" applyBorder="1" applyNumberFormat="1">
      <alignment horizontal="left" vertical="center" wrapText="1"/>
    </xf>
    <xf numFmtId="2929"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3"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4" xfId="0" applyFont="1" applyFill="1" applyBorder="1" applyNumberFormat="1">
      <alignment horizontal="left" vertical="center" wrapText="1"/>
      <protection locked="0"/>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2" xfId="0" applyFont="1" applyFill="1" applyBorder="1" applyNumberFormat="1">
      <alignment horizontal="left" vertical="center" wrapTex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0" applyFont="1"/>
    <xf numFmtId="0" fontId="29" fillId="0" borderId="0" xfId="0" applyFont="1"/>
    <xf numFmtId="49" fontId="27" fillId="36" borderId="12" xfId="0" applyFont="1" applyFill="1" applyBorder="1" applyNumberFormat="1">
      <alignment horizontal="left" vertical="center" wrapText="1"/>
      <protection locked="0"/>
    </xf>
    <xf numFmtId="49" fontId="27" fillId="36" borderId="14"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b59010c3-6a34-4d22-b778-7204c8d1e4ce" TargetMode="External"/><Relationship Id="rId2" Type="http://schemas.openxmlformats.org/officeDocument/2006/relationships/hyperlink" Target="https://portal.eias.ru/Portal/DownloadPage.aspx?type=12&amp;guid=b59010c3-6a34-4d22-b778-7204c8d1e4ce" TargetMode="External"/><Relationship Id="rId3" Type="http://schemas.openxmlformats.org/officeDocument/2006/relationships/hyperlink" Target="https://portal.eias.ru/Portal/DownloadPage.aspx?type=12&amp;guid=b59010c3-6a34-4d22-b778-7204c8d1e4ce" TargetMode="External"/><Relationship Id="rId4" Type="http://schemas.openxmlformats.org/officeDocument/2006/relationships/hyperlink" Target="https://portal.eias.ru/Portal/DownloadPage.aspx?type=12&amp;guid=b59010c3-6a34-4d22-b778-7204c8d1e4ce" TargetMode="External"/><Relationship Id="rId5" Type="http://schemas.openxmlformats.org/officeDocument/2006/relationships/hyperlink" Target="https://portal.eias.ru/Portal/DownloadPage.aspx?type=12&amp;guid=b59010c3-6a34-4d22-b778-7204c8d1e4ce" TargetMode="External"/><Relationship Id="rId6" Type="http://schemas.openxmlformats.org/officeDocument/2006/relationships/hyperlink" Target="https://portal.eias.ru/Portal/DownloadPage.aspx?type=12&amp;guid=b59010c3-6a34-4d22-b778-7204c8d1e4ce" TargetMode="External"/><Relationship Id="rId7" Type="http://schemas.openxmlformats.org/officeDocument/2006/relationships/hyperlink" Target="https://portal.eias.ru/Portal/DownloadPage.aspx?type=12&amp;guid=617f19ee-ff1e-4d6c-9ce4-8e8694f12133" TargetMode="External"/><Relationship Id="rId8" Type="http://schemas.openxmlformats.org/officeDocument/2006/relationships/hyperlink" Target="https://portal.eias.ru/Portal/DownloadPage.aspx?type=12&amp;guid=617f19ee-ff1e-4d6c-9ce4-8e8694f12133" TargetMode="External"/><Relationship Id="rId9" Type="http://schemas.openxmlformats.org/officeDocument/2006/relationships/hyperlink" Target="https://portal.eias.ru/Portal/DownloadPage.aspx?type=12&amp;guid=617f19ee-ff1e-4d6c-9ce4-8e8694f12133" TargetMode="External"/><Relationship Id="rId10" Type="http://schemas.openxmlformats.org/officeDocument/2006/relationships/hyperlink" Target="https://portal.eias.ru/Portal/DownloadPage.aspx?type=12&amp;guid=617f19ee-ff1e-4d6c-9ce4-8e8694f12133" TargetMode="External"/><Relationship Id="rId11" Type="http://schemas.openxmlformats.org/officeDocument/2006/relationships/hyperlink" Target="https://portal.eias.ru/Portal/DownloadPage.aspx?type=12&amp;guid=617f19ee-ff1e-4d6c-9ce4-8e8694f12133" TargetMode="External"/><Relationship Id="rId12" Type="http://schemas.openxmlformats.org/officeDocument/2006/relationships/hyperlink" Target="https://portal.eias.ru/Portal/DownloadPage.aspx?type=12&amp;guid=617f19ee-ff1e-4d6c-9ce4-8e8694f12133" TargetMode="External"/><Relationship Id="rId13" Type="http://schemas.openxmlformats.org/officeDocument/2006/relationships/hyperlink" Target="https://portal.eias.ru/Portal/DownloadPage.aspx?type=12&amp;guid=617f19ee-ff1e-4d6c-9ce4-8e8694f12133" TargetMode="External"/><Relationship Id="rId14" Type="http://schemas.openxmlformats.org/officeDocument/2006/relationships/hyperlink" Target="https://portal.eias.ru/Portal/DownloadPage.aspx?type=12&amp;guid=b63f510e-f20d-4fca-b7be-3409052f4963" TargetMode="External"/><Relationship Id="rId15" Type="http://schemas.openxmlformats.org/officeDocument/2006/relationships/hyperlink" Target="https://portal.eias.ru/Portal/DownloadPage.aspx?type=12&amp;guid=b63f510e-f20d-4fca-b7be-3409052f4963" TargetMode="External"/><Relationship Id="rId16" Type="http://schemas.openxmlformats.org/officeDocument/2006/relationships/hyperlink" Target="https://portal.eias.ru/Portal/DownloadPage.aspx?type=12&amp;guid=b63f510e-f20d-4fca-b7be-3409052f4963" TargetMode="External"/><Relationship Id="rId17" Type="http://schemas.openxmlformats.org/officeDocument/2006/relationships/hyperlink" Target="https://portal.eias.ru/Portal/DownloadPage.aspx?type=12&amp;guid=b63f510e-f20d-4fca-b7be-3409052f4963" TargetMode="External"/><Relationship Id="rId18" Type="http://schemas.openxmlformats.org/officeDocument/2006/relationships/hyperlink" Target="https://portal.eias.ru/Portal/DownloadPage.aspx?type=12&amp;guid=b63f510e-f20d-4fca-b7be-3409052f4963" TargetMode="External"/><Relationship Id="rId19" Type="http://schemas.openxmlformats.org/officeDocument/2006/relationships/hyperlink" Target="https://portal.eias.ru/Portal/DownloadPage.aspx?type=12&amp;guid=b63f510e-f20d-4fca-b7be-3409052f4963" TargetMode="External"/><Relationship Id="rId20" Type="http://schemas.openxmlformats.org/officeDocument/2006/relationships/hyperlink" Target="https://portal.eias.ru/Portal/DownloadPage.aspx?type=12&amp;guid=b63f510e-f20d-4fca-b7be-3409052f4963"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373464a4-29c3-464d-9d6e-b7adfb145bd7" TargetMode="External"/><Relationship Id="rId2" Type="http://schemas.openxmlformats.org/officeDocument/2006/relationships/hyperlink" Target="https://portal.eias.ru/Portal/DownloadPage.aspx?type=12&amp;guid=b63f510e-f20d-4fca-b7be-3409052f4963" TargetMode="External"/><Relationship Id="rId3" Type="http://schemas.openxmlformats.org/officeDocument/2006/relationships/hyperlink" Target="https://portal.eias.ru/Portal/DownloadPage.aspx?type=12&amp;guid=b63f510e-f20d-4fca-b7be-3409052f4963" TargetMode="External"/><Relationship Id="rId4" Type="http://schemas.openxmlformats.org/officeDocument/2006/relationships/hyperlink" Target="https://portal.eias.ru/Portal/DownloadPage.aspx?type=12&amp;guid=b63f510e-f20d-4fca-b7be-3409052f4963" TargetMode="External"/><Relationship Id="rId5" Type="http://schemas.openxmlformats.org/officeDocument/2006/relationships/hyperlink" Target="https://portal.eias.ru/Portal/DownloadPage.aspx?type=12&amp;guid=b63f510e-f20d-4fca-b7be-3409052f4963"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8DFE2A-B98B-DE2C-A549-073BE25458A4}"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933" width="5.421875" customWidth="1"/>
    <col min="2" max="2" style="2933" width="9.140625" customWidth="1"/>
    <col min="3" max="3" style="2933" width="16.421875" customWidth="1"/>
    <col min="4" max="25" style="2933" width="6.28125" customWidth="1"/>
    <col min="26" max="28" style="2933" width="11.00390625"/>
  </cols>
  <sheetData>
    <row customHeight="1" ht="15.75">
      <c r="A1" s="1704"/>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6"/>
      <c r="Z1" s="1705"/>
      <c r="AA1" s="1707" t="s">
        <v>0</v>
      </c>
      <c r="AB1" s="1705"/>
    </row>
    <row customHeight="1" ht="17.25">
      <c r="A2" s="1705"/>
      <c r="B2" s="2081" t="s">
        <v>1</v>
      </c>
      <c r="C2" s="2081"/>
      <c r="D2" s="2081"/>
      <c r="E2" s="2081"/>
      <c r="F2" s="2081"/>
      <c r="G2" s="2081"/>
      <c r="H2" s="2081"/>
      <c r="I2" s="2081"/>
      <c r="J2" s="2081"/>
      <c r="K2" s="2081"/>
      <c r="L2" s="2081"/>
      <c r="M2" s="2081"/>
      <c r="N2" s="2081"/>
      <c r="O2" s="2081"/>
      <c r="P2" s="2081"/>
      <c r="Q2" s="1709"/>
      <c r="R2" s="1709"/>
      <c r="S2" s="1709"/>
      <c r="T2" s="1709"/>
      <c r="U2" s="1709"/>
      <c r="V2" s="1710"/>
      <c r="W2" s="1709"/>
      <c r="X2" s="1709"/>
      <c r="Y2" s="1706"/>
      <c r="Z2" s="1705"/>
      <c r="AA2" s="1707"/>
      <c r="AB2" s="1705"/>
    </row>
    <row customHeight="1" ht="15.75">
      <c r="A3" s="1705"/>
      <c r="B3" s="2082" t="s">
        <v>2</v>
      </c>
      <c r="C3" s="2082"/>
      <c r="D3" s="2082"/>
      <c r="E3" s="2082"/>
      <c r="F3" s="2082"/>
      <c r="G3" s="2082"/>
      <c r="H3" s="2082"/>
      <c r="I3" s="2082"/>
      <c r="J3" s="2082"/>
      <c r="K3" s="2082"/>
      <c r="L3" s="2082"/>
      <c r="M3" s="2082"/>
      <c r="N3" s="2082"/>
      <c r="O3" s="2082"/>
      <c r="P3" s="2082"/>
      <c r="Q3" s="1710"/>
      <c r="R3" s="1710"/>
      <c r="S3" s="1709"/>
      <c r="T3" s="1709"/>
      <c r="U3" s="1709"/>
      <c r="V3" s="1710"/>
      <c r="W3" s="1710"/>
      <c r="X3" s="1710"/>
      <c r="Y3" s="1710"/>
      <c r="Z3" s="1705"/>
      <c r="AA3" s="1707"/>
      <c r="AB3" s="1705"/>
    </row>
    <row customHeight="1" ht="17.25">
      <c r="A4" s="1705"/>
      <c r="B4" s="1711"/>
      <c r="C4" s="1705"/>
      <c r="D4" s="1710"/>
      <c r="E4" s="1710"/>
      <c r="F4" s="1710"/>
      <c r="G4" s="1710"/>
      <c r="H4" s="1710"/>
      <c r="I4" s="1710"/>
      <c r="J4" s="1710"/>
      <c r="K4" s="1710"/>
      <c r="L4" s="1710"/>
      <c r="M4" s="1710"/>
      <c r="N4" s="1710"/>
      <c r="O4" s="1710"/>
      <c r="P4" s="1710"/>
      <c r="Q4" s="1710"/>
      <c r="R4" s="1710"/>
      <c r="S4" s="1710"/>
      <c r="T4" s="1710"/>
      <c r="U4" s="1710"/>
      <c r="V4" s="1710"/>
      <c r="W4" s="1710"/>
      <c r="X4" s="1710"/>
      <c r="Y4" s="1710"/>
      <c r="Z4" s="1705"/>
      <c r="AA4" s="1707"/>
      <c r="AB4" s="1705"/>
    </row>
    <row customHeight="1" ht="22.5">
      <c r="A5" s="1712"/>
      <c r="B5" s="2083"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84"/>
      <c r="D5" s="2084"/>
      <c r="E5" s="2084"/>
      <c r="F5" s="2084"/>
      <c r="G5" s="2084"/>
      <c r="H5" s="2084"/>
      <c r="I5" s="2084"/>
      <c r="J5" s="2084"/>
      <c r="K5" s="2084"/>
      <c r="L5" s="2084"/>
      <c r="M5" s="2084"/>
      <c r="N5" s="2084"/>
      <c r="O5" s="2084"/>
      <c r="P5" s="2084"/>
      <c r="Q5" s="2084"/>
      <c r="R5" s="2084"/>
      <c r="S5" s="2084"/>
      <c r="T5" s="2084"/>
      <c r="U5" s="2084"/>
      <c r="V5" s="2084"/>
      <c r="W5" s="2084"/>
      <c r="X5" s="2084"/>
      <c r="Y5" s="2085"/>
      <c r="Z5" s="1712"/>
      <c r="AA5" s="1707"/>
      <c r="AB5" s="1712"/>
    </row>
    <row customHeight="1" ht="15">
      <c r="A6" s="1713"/>
      <c r="B6" s="2086" t="s">
        <v>3</v>
      </c>
      <c r="C6" s="2087"/>
      <c r="D6" s="1714"/>
      <c r="E6" s="1714"/>
      <c r="F6" s="1714"/>
      <c r="G6" s="1714"/>
      <c r="H6" s="1714"/>
      <c r="I6" s="1714"/>
      <c r="J6" s="1714"/>
      <c r="K6" s="1714"/>
      <c r="L6" s="1714"/>
      <c r="M6" s="1714"/>
      <c r="N6" s="1714"/>
      <c r="O6" s="1714"/>
      <c r="P6" s="1714"/>
      <c r="Q6" s="1714"/>
      <c r="R6" s="1714"/>
      <c r="S6" s="1714"/>
      <c r="T6" s="1714"/>
      <c r="U6" s="1714"/>
      <c r="V6" s="1714"/>
      <c r="W6" s="1714"/>
      <c r="X6" s="1714"/>
      <c r="Y6" s="1715"/>
      <c r="Z6" s="1716"/>
      <c r="AA6" s="1717"/>
      <c r="AB6" s="1717"/>
    </row>
    <row customHeight="1" ht="15">
      <c r="A7" s="1713"/>
      <c r="B7" s="2086"/>
      <c r="C7" s="2087"/>
      <c r="D7" s="1714"/>
      <c r="E7" s="1714"/>
      <c r="F7" s="1718"/>
      <c r="G7" s="1718"/>
      <c r="H7" s="1718"/>
      <c r="I7" s="1718"/>
      <c r="J7" s="1718"/>
      <c r="K7" s="1718"/>
      <c r="L7" s="1718"/>
      <c r="M7" s="1718"/>
      <c r="N7" s="1718"/>
      <c r="O7" s="1714"/>
      <c r="P7" s="1718"/>
      <c r="Q7" s="1718"/>
      <c r="R7" s="1718"/>
      <c r="S7" s="1718"/>
      <c r="T7" s="1718"/>
      <c r="U7" s="1718"/>
      <c r="V7" s="1718"/>
      <c r="W7" s="1718"/>
      <c r="X7" s="1718"/>
      <c r="Y7" s="1715"/>
      <c r="Z7" s="1716"/>
      <c r="AA7" s="1717"/>
      <c r="AB7" s="1717"/>
    </row>
    <row customHeight="1" ht="15">
      <c r="A8" s="1713"/>
      <c r="B8" s="2086"/>
      <c r="C8" s="2087"/>
      <c r="D8" s="1719"/>
      <c r="E8" s="1720" t="s">
        <v>4</v>
      </c>
      <c r="F8" s="2089" t="s">
        <v>5</v>
      </c>
      <c r="G8" s="2090"/>
      <c r="H8" s="2090"/>
      <c r="I8" s="2090"/>
      <c r="J8" s="2090"/>
      <c r="K8" s="2090"/>
      <c r="L8" s="2090"/>
      <c r="M8" s="2090"/>
      <c r="N8" s="1719"/>
      <c r="O8" s="1721" t="s">
        <v>4</v>
      </c>
      <c r="P8" s="2091" t="s">
        <v>6</v>
      </c>
      <c r="Q8" s="2092"/>
      <c r="R8" s="2092"/>
      <c r="S8" s="2092"/>
      <c r="T8" s="2092"/>
      <c r="U8" s="2092"/>
      <c r="V8" s="2092"/>
      <c r="W8" s="2092"/>
      <c r="X8" s="2092"/>
      <c r="Y8" s="1715"/>
      <c r="Z8" s="1716"/>
      <c r="AA8" s="1717"/>
      <c r="AB8" s="1717"/>
    </row>
    <row customHeight="1" ht="15">
      <c r="A9" s="1713"/>
      <c r="B9" s="2086"/>
      <c r="C9" s="2087"/>
      <c r="D9" s="1719"/>
      <c r="E9" s="1722" t="s">
        <v>4</v>
      </c>
      <c r="F9" s="2089" t="s">
        <v>7</v>
      </c>
      <c r="G9" s="2090"/>
      <c r="H9" s="2090"/>
      <c r="I9" s="2090"/>
      <c r="J9" s="2090"/>
      <c r="K9" s="2090"/>
      <c r="L9" s="2090"/>
      <c r="M9" s="2090"/>
      <c r="N9" s="1719"/>
      <c r="O9" s="1723" t="s">
        <v>4</v>
      </c>
      <c r="P9" s="2091" t="s">
        <v>8</v>
      </c>
      <c r="Q9" s="2092"/>
      <c r="R9" s="2092"/>
      <c r="S9" s="2092"/>
      <c r="T9" s="2092"/>
      <c r="U9" s="2092"/>
      <c r="V9" s="2092"/>
      <c r="W9" s="2092"/>
      <c r="X9" s="2092"/>
      <c r="Y9" s="1715"/>
      <c r="Z9" s="1716"/>
      <c r="AA9" s="1717"/>
      <c r="AB9" s="1717"/>
    </row>
    <row customHeight="1" ht="30">
      <c r="A10" s="1713"/>
      <c r="B10" s="2086"/>
      <c r="C10" s="2088"/>
      <c r="D10" s="1724"/>
      <c r="E10" s="1725"/>
      <c r="F10" s="1718"/>
      <c r="G10" s="1718"/>
      <c r="H10" s="1718"/>
      <c r="I10" s="1718"/>
      <c r="J10" s="1718"/>
      <c r="K10" s="1718"/>
      <c r="L10" s="1718"/>
      <c r="M10" s="1718"/>
      <c r="N10" s="1718"/>
      <c r="O10" s="1725"/>
      <c r="P10" s="1718"/>
      <c r="Q10" s="1718"/>
      <c r="R10" s="1718"/>
      <c r="S10" s="1718"/>
      <c r="T10" s="1718"/>
      <c r="U10" s="1718"/>
      <c r="V10" s="1718"/>
      <c r="W10" s="1718"/>
      <c r="X10" s="1718"/>
      <c r="Y10" s="1715"/>
      <c r="Z10" s="1716"/>
      <c r="AA10" s="1717"/>
      <c r="AB10" s="1717"/>
    </row>
    <row customHeight="1" ht="19.5">
      <c r="A11" s="1713"/>
      <c r="B11" s="2093" t="s">
        <v>9</v>
      </c>
      <c r="C11" s="2094"/>
      <c r="D11" s="1719"/>
      <c r="E11" s="1726"/>
      <c r="F11" s="1726"/>
      <c r="G11" s="1726"/>
      <c r="H11" s="1726"/>
      <c r="I11" s="1726"/>
      <c r="J11" s="1726"/>
      <c r="K11" s="1726"/>
      <c r="L11" s="1726"/>
      <c r="M11" s="1726"/>
      <c r="N11" s="1726"/>
      <c r="O11" s="1726"/>
      <c r="P11" s="1726"/>
      <c r="Q11" s="1726"/>
      <c r="R11" s="1726"/>
      <c r="S11" s="1726"/>
      <c r="T11" s="1726"/>
      <c r="U11" s="1726"/>
      <c r="V11" s="1726"/>
      <c r="W11" s="1726"/>
      <c r="X11" s="1726"/>
      <c r="Y11" s="1715"/>
      <c r="Z11" s="1716"/>
      <c r="AA11" s="1717"/>
      <c r="AB11" s="1717"/>
    </row>
    <row customHeight="1" ht="69">
      <c r="A12" s="1713"/>
      <c r="B12" s="2086"/>
      <c r="C12" s="2088"/>
      <c r="D12" s="1727"/>
      <c r="E12" s="2090" t="s">
        <v>10</v>
      </c>
      <c r="F12" s="2090"/>
      <c r="G12" s="2090"/>
      <c r="H12" s="2090"/>
      <c r="I12" s="2090"/>
      <c r="J12" s="2090"/>
      <c r="K12" s="2090"/>
      <c r="L12" s="2090"/>
      <c r="M12" s="2090"/>
      <c r="N12" s="2090"/>
      <c r="O12" s="2090"/>
      <c r="P12" s="2090"/>
      <c r="Q12" s="2090"/>
      <c r="R12" s="2090"/>
      <c r="S12" s="2090"/>
      <c r="T12" s="2090"/>
      <c r="U12" s="2090"/>
      <c r="V12" s="2090"/>
      <c r="W12" s="2090"/>
      <c r="X12" s="2090"/>
      <c r="Y12" s="1715"/>
      <c r="Z12" s="1716"/>
      <c r="AA12" s="1717"/>
      <c r="AB12" s="1717"/>
    </row>
    <row customHeight="1" ht="15">
      <c r="A13" s="1713"/>
      <c r="B13" s="2093" t="s">
        <v>11</v>
      </c>
      <c r="C13" s="2094"/>
      <c r="D13" s="1714"/>
      <c r="E13" s="1726"/>
      <c r="F13" s="1726"/>
      <c r="G13" s="1726"/>
      <c r="H13" s="1726"/>
      <c r="I13" s="1726"/>
      <c r="J13" s="1726"/>
      <c r="K13" s="1726"/>
      <c r="L13" s="1726"/>
      <c r="M13" s="1726"/>
      <c r="N13" s="1726"/>
      <c r="O13" s="1726"/>
      <c r="P13" s="1726"/>
      <c r="Q13" s="1726"/>
      <c r="R13" s="1726"/>
      <c r="S13" s="1726"/>
      <c r="T13" s="1726"/>
      <c r="U13" s="1726"/>
      <c r="V13" s="1726"/>
      <c r="W13" s="1726"/>
      <c r="X13" s="1726"/>
      <c r="Y13" s="1715"/>
      <c r="Z13" s="1716"/>
      <c r="AA13" s="1717"/>
      <c r="AB13" s="1717"/>
    </row>
    <row customHeight="1" ht="57">
      <c r="A14" s="1713"/>
      <c r="B14" s="2086"/>
      <c r="C14" s="2087"/>
      <c r="D14" s="1719"/>
      <c r="E14" s="2097" t="s">
        <v>12</v>
      </c>
      <c r="F14" s="2097"/>
      <c r="G14" s="2097"/>
      <c r="H14" s="2097"/>
      <c r="I14" s="2097"/>
      <c r="J14" s="2097"/>
      <c r="K14" s="2097"/>
      <c r="L14" s="2097"/>
      <c r="M14" s="2097"/>
      <c r="N14" s="2097"/>
      <c r="O14" s="2097"/>
      <c r="P14" s="2097"/>
      <c r="Q14" s="2097"/>
      <c r="R14" s="2097"/>
      <c r="S14" s="2097"/>
      <c r="T14" s="2097"/>
      <c r="U14" s="2097"/>
      <c r="V14" s="2097"/>
      <c r="W14" s="2097"/>
      <c r="X14" s="2097"/>
      <c r="Y14" s="1715"/>
      <c r="Z14" s="1716"/>
      <c r="AA14" s="1717"/>
      <c r="AB14" s="1717"/>
    </row>
    <row customHeight="1" ht="16.5">
      <c r="A15" s="1713"/>
      <c r="B15" s="2095"/>
      <c r="C15" s="2096"/>
      <c r="D15" s="1728"/>
      <c r="E15" s="1729"/>
      <c r="F15" s="1729"/>
      <c r="G15" s="1729"/>
      <c r="H15" s="1729"/>
      <c r="I15" s="1729"/>
      <c r="J15" s="1729"/>
      <c r="K15" s="1729"/>
      <c r="L15" s="1729"/>
      <c r="M15" s="1729"/>
      <c r="N15" s="1729"/>
      <c r="O15" s="1729"/>
      <c r="P15" s="1729"/>
      <c r="Q15" s="1729"/>
      <c r="R15" s="1729"/>
      <c r="S15" s="1729"/>
      <c r="T15" s="1729"/>
      <c r="U15" s="1729"/>
      <c r="V15" s="1729"/>
      <c r="W15" s="1729"/>
      <c r="X15" s="1729"/>
      <c r="Y15" s="1730"/>
      <c r="Z15" s="1716"/>
      <c r="AA15" s="1731"/>
      <c r="AB15" s="1717"/>
    </row>
    <row customHeight="1" ht="95.25">
      <c r="A16" s="1705"/>
      <c r="B16" s="2097"/>
      <c r="C16" s="2098"/>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1705"/>
      <c r="AA16" s="1707"/>
      <c r="AB16" s="1705"/>
    </row>
    <row customHeight="1" ht="14.25">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1705"/>
      <c r="AA17" s="1707"/>
      <c r="AB17" s="1705"/>
    </row>
    <row customHeight="1" ht="14.25">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6"/>
      <c r="Z18" s="1705"/>
      <c r="AA18" s="1707"/>
      <c r="AB18" s="1705"/>
    </row>
    <row customHeight="1" ht="14.25">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6"/>
      <c r="Z19" s="1705"/>
      <c r="AA19" s="1707"/>
      <c r="AB19" s="1705"/>
    </row>
    <row customHeight="1" ht="14.25">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6"/>
      <c r="Z20" s="1705"/>
      <c r="AA20" s="1707"/>
      <c r="AB20" s="1705"/>
    </row>
    <row customHeight="1" ht="14.25">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6"/>
      <c r="Z21" s="1705"/>
      <c r="AA21" s="1707"/>
      <c r="AB21" s="1705"/>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A254F6-BCB1-38BC-6448-4637DE0BCC23}"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6" width="9.140625" hidden="1" customWidth="1"/>
    <col min="2" max="3" style="1639" width="9.140625" hidden="1" customWidth="1"/>
    <col min="4" max="4" style="1846" width="3.00390625" customWidth="1"/>
    <col min="5" max="5" style="1639" width="6.00390625" customWidth="1"/>
    <col min="6" max="6" style="1639" width="1.7109375" hidden="1" customWidth="1"/>
    <col min="7" max="8" style="1639" width="30.00390625" customWidth="1"/>
    <col min="9" max="9" style="1639" width="8.00390625" customWidth="1"/>
    <col min="10" max="10" style="1639" width="12.140625" customWidth="1"/>
    <col min="11" max="11" style="1639" width="46.00390625" customWidth="1"/>
    <col min="12" max="12" style="1639" width="100.00390625" customWidth="1"/>
    <col min="13" max="13" style="1823" width="7.00390625" customWidth="1"/>
    <col min="14" max="22" style="1639" width="10.00390625" customWidth="1"/>
    <col min="23" max="23" style="1639" width="10.57421875" hidden="1"/>
  </cols>
  <sheetData>
    <row s="1646" customFormat="1" customHeight="1" ht="5.25" hidden="1">
      <c r="C1" s="515"/>
      <c r="D1" s="498"/>
      <c r="F1" s="515"/>
      <c r="G1" s="493" t="s">
        <v>83</v>
      </c>
      <c r="H1" s="493" t="s">
        <v>84</v>
      </c>
      <c r="I1" s="493" t="s">
        <v>85</v>
      </c>
      <c r="P1" s="493" t="s">
        <v>83</v>
      </c>
      <c r="Q1" s="493" t="s">
        <v>84</v>
      </c>
      <c r="R1" s="493" t="s">
        <v>85</v>
      </c>
      <c r="W1" s="493" t="s">
        <v>14</v>
      </c>
    </row>
    <row s="1646" customFormat="1" customHeight="1" ht="5.25" hidden="1">
      <c r="C2" s="515"/>
      <c r="D2" s="498"/>
      <c r="F2" s="515"/>
      <c r="W2" s="493">
        <v>0</v>
      </c>
    </row>
    <row s="1616" customFormat="1" customHeight="1" ht="5.25">
      <c r="A3" s="483"/>
      <c r="D3" s="490"/>
      <c r="E3" s="485"/>
      <c r="F3" s="485"/>
      <c r="G3" s="485"/>
      <c r="H3" s="485"/>
      <c r="I3" s="486"/>
      <c r="J3" s="487"/>
      <c r="K3" s="487"/>
      <c r="L3" s="487"/>
      <c r="W3" s="484">
        <v>5</v>
      </c>
    </row>
    <row customHeight="1" ht="23.25">
      <c r="D4" s="454"/>
      <c r="E4" s="2242" t="s">
        <v>406</v>
      </c>
      <c r="F4" s="2242"/>
      <c r="G4" s="2243"/>
      <c r="H4" s="2243"/>
      <c r="I4" s="2244"/>
      <c r="J4" s="495"/>
      <c r="K4" s="457"/>
      <c r="L4" s="457"/>
      <c r="W4" s="451">
        <v>22</v>
      </c>
    </row>
    <row s="1639" customFormat="1" customHeight="1" ht="18">
      <c r="A5" s="763"/>
      <c r="D5" s="826"/>
      <c r="E5" s="2218" t="str">
        <f>IF(org=0,"Не определено",org)</f>
        <v>АО "Теплоэнерго"</v>
      </c>
      <c r="F5" s="2218"/>
      <c r="G5" s="2219"/>
      <c r="H5" s="2219"/>
      <c r="I5" s="2220"/>
      <c r="J5" s="495"/>
      <c r="K5" s="457"/>
      <c r="L5" s="457"/>
      <c r="M5" s="511"/>
      <c r="W5" s="762">
        <v>17</v>
      </c>
    </row>
    <row s="1616" customFormat="1" customHeight="1" ht="11.549999999999999">
      <c r="A6" s="483"/>
      <c r="D6" s="490"/>
      <c r="E6" s="485"/>
      <c r="F6" s="485"/>
      <c r="G6" s="488"/>
      <c r="H6" s="488"/>
      <c r="I6" s="489"/>
      <c r="J6" s="489"/>
      <c r="K6" s="756"/>
      <c r="L6" s="489"/>
      <c r="W6" s="484">
        <v>11</v>
      </c>
    </row>
    <row customHeight="1" ht="14.699999999999998">
      <c r="D7" s="454"/>
      <c r="E7" s="2212" t="s">
        <v>318</v>
      </c>
      <c r="F7" s="2212"/>
      <c r="G7" s="2213"/>
      <c r="H7" s="2213"/>
      <c r="I7" s="2213"/>
      <c r="J7" s="2213"/>
      <c r="K7" s="2213"/>
      <c r="L7" s="2227" t="s">
        <v>319</v>
      </c>
      <c r="W7" s="451">
        <v>14</v>
      </c>
    </row>
    <row customHeight="1" ht="48.29999999999999">
      <c r="D8" s="454"/>
      <c r="E8" s="477" t="s">
        <v>88</v>
      </c>
      <c r="F8" s="827"/>
      <c r="G8" s="469" t="s">
        <v>86</v>
      </c>
      <c r="H8" s="469" t="s">
        <v>87</v>
      </c>
      <c r="I8" s="418" t="s">
        <v>85</v>
      </c>
      <c r="J8" s="418" t="s">
        <v>407</v>
      </c>
      <c r="K8" s="418" t="s">
        <v>408</v>
      </c>
      <c r="L8" s="2227"/>
      <c r="W8" s="451">
        <v>46</v>
      </c>
    </row>
    <row customHeight="1" ht="12" hidden="1">
      <c r="D9" s="491"/>
      <c r="E9" s="497"/>
      <c r="F9" s="834"/>
      <c r="G9" s="497"/>
      <c r="H9" s="497"/>
      <c r="I9" s="497"/>
      <c r="J9" s="497"/>
      <c r="K9" s="497"/>
      <c r="L9" s="497"/>
      <c r="M9" s="451"/>
      <c r="W9" s="451">
        <v>0</v>
      </c>
    </row>
    <row customHeight="1" ht="14.25" hidden="1">
      <c r="A10" s="509"/>
      <c r="B10" s="509"/>
      <c r="D10" s="510"/>
      <c r="E10" s="516">
        <v>0</v>
      </c>
      <c r="F10" s="825"/>
      <c r="G10" s="512"/>
      <c r="H10" s="512"/>
      <c r="I10" s="512"/>
      <c r="J10" s="512"/>
      <c r="K10" s="512"/>
      <c r="L10" s="2225" t="s">
        <v>409</v>
      </c>
      <c r="M10" s="511"/>
      <c r="N10" s="509"/>
      <c r="O10" s="509"/>
      <c r="P10" s="509"/>
      <c r="Q10" s="509"/>
      <c r="R10" s="509"/>
      <c r="S10" s="509"/>
      <c r="T10" s="509"/>
      <c r="U10" s="509"/>
      <c r="V10" s="509"/>
      <c r="W10" s="451">
        <v>0</v>
      </c>
    </row>
    <row customHeight="1" ht="15" hidden="1">
      <c r="A11" s="2103"/>
      <c r="B11" s="508"/>
      <c r="C11" s="508"/>
      <c r="D11" s="869"/>
      <c r="E11" s="517"/>
      <c r="F11" s="517"/>
      <c r="G11" s="517"/>
      <c r="H11" s="517"/>
      <c r="I11" s="518"/>
      <c r="J11" s="519"/>
      <c r="K11" s="717"/>
      <c r="L11" s="2245"/>
      <c r="M11" s="515"/>
      <c r="N11" s="515"/>
      <c r="O11" s="515"/>
      <c r="P11" s="520"/>
      <c r="Q11" s="520"/>
      <c r="R11" s="521"/>
      <c r="S11" s="515"/>
      <c r="T11" s="515"/>
      <c r="U11" s="515"/>
      <c r="V11" s="515"/>
      <c r="W11" s="451">
        <v>0</v>
      </c>
    </row>
    <row s="1616" customFormat="1" customHeight="1" ht="15">
      <c r="A12" s="2103"/>
      <c r="B12" s="508"/>
      <c r="C12" s="508"/>
      <c r="D12" s="870"/>
      <c r="E12" s="827">
        <v>1</v>
      </c>
      <c r="F12" s="868">
        <v>23</v>
      </c>
      <c r="G12" s="867"/>
      <c r="H12" s="797"/>
      <c r="I12" s="795"/>
      <c r="J12" s="524" t="s">
        <v>62</v>
      </c>
      <c r="K12" s="1168" t="s">
        <v>22</v>
      </c>
      <c r="L12" s="2245"/>
      <c r="M12" s="515"/>
      <c r="N12" s="515"/>
      <c r="O12" s="515"/>
      <c r="P12" s="520" t="s">
        <v>410</v>
      </c>
      <c r="Q12" s="520" t="s">
        <v>411</v>
      </c>
      <c r="R12" s="521" t="s">
        <v>412</v>
      </c>
      <c r="S12" s="515" t="s">
        <v>413</v>
      </c>
      <c r="T12" s="515"/>
      <c r="U12" s="515"/>
      <c r="V12" s="515"/>
      <c r="W12" s="484">
        <v>14</v>
      </c>
    </row>
    <row customHeight="1" ht="15.75">
      <c r="A13" s="2103"/>
      <c r="B13" s="509"/>
      <c r="D13" s="510"/>
      <c r="E13" s="409"/>
      <c r="F13" s="533"/>
      <c r="G13" s="420" t="s">
        <v>102</v>
      </c>
      <c r="H13" s="408"/>
      <c r="I13" s="408"/>
      <c r="J13" s="408"/>
      <c r="K13" s="407"/>
      <c r="L13" s="2226"/>
      <c r="M13" s="513"/>
      <c r="N13" s="509"/>
      <c r="O13" s="509"/>
      <c r="P13" s="509"/>
      <c r="Q13" s="509"/>
      <c r="R13" s="509"/>
      <c r="S13" s="509"/>
      <c r="T13" s="509"/>
      <c r="U13" s="509"/>
      <c r="V13" s="509"/>
      <c r="W13" s="451">
        <v>15</v>
      </c>
    </row>
    <row customHeight="1" ht="11.549999999999999">
      <c r="A14" s="483"/>
      <c r="B14" s="484"/>
      <c r="C14" s="484"/>
      <c r="D14" s="499"/>
      <c r="E14" s="484"/>
      <c r="F14" s="484"/>
      <c r="G14" s="484"/>
      <c r="H14" s="484"/>
      <c r="I14" s="484"/>
      <c r="J14" s="484"/>
      <c r="K14" s="484"/>
      <c r="L14" s="484"/>
      <c r="M14" s="484"/>
      <c r="N14" s="484"/>
      <c r="O14" s="484"/>
      <c r="P14" s="484"/>
      <c r="Q14" s="484"/>
      <c r="R14" s="484"/>
      <c r="S14" s="484"/>
      <c r="T14" s="484"/>
      <c r="U14" s="484"/>
      <c r="V14" s="484"/>
      <c r="W14" s="451">
        <v>11</v>
      </c>
    </row>
    <row customHeight="1" ht="14.699999999999998">
      <c r="D15" s="470"/>
      <c r="E15" s="340"/>
      <c r="F15" s="340"/>
      <c r="G15" s="66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0"/>
      <c r="I15" s="470"/>
      <c r="J15" s="470"/>
      <c r="K15" s="470"/>
      <c r="L15" s="470"/>
      <c r="W15" s="451">
        <v>14</v>
      </c>
    </row>
    <row customHeight="1" ht="14.699999999999998">
      <c r="W16" s="451">
        <v>14</v>
      </c>
    </row>
    <row customHeight="1" ht="14.699999999999998">
      <c r="W17" s="451">
        <v>14</v>
      </c>
    </row>
    <row customHeight="1" ht="14.699999999999998">
      <c r="G18" s="509"/>
      <c r="W18" s="451">
        <v>14</v>
      </c>
    </row>
    <row customHeight="1" ht="22.5" hidden="1">
      <c r="A19" s="453" t="s">
        <v>82</v>
      </c>
      <c r="B19" s="451">
        <v>0</v>
      </c>
      <c r="C19" s="762">
        <v>0</v>
      </c>
      <c r="D19" s="455">
        <v>3</v>
      </c>
      <c r="E19" s="451">
        <v>6</v>
      </c>
      <c r="F19" s="762">
        <v>0</v>
      </c>
      <c r="G19" s="451">
        <v>30</v>
      </c>
      <c r="H19" s="451">
        <v>30</v>
      </c>
      <c r="I19" s="451">
        <v>8</v>
      </c>
      <c r="J19" s="451">
        <v>12</v>
      </c>
      <c r="K19" s="451">
        <v>46</v>
      </c>
      <c r="L19" s="451">
        <v>100</v>
      </c>
      <c r="M19" s="456">
        <v>7</v>
      </c>
      <c r="N19" s="451">
        <v>10</v>
      </c>
      <c r="O19" s="451">
        <v>10</v>
      </c>
      <c r="P19" s="451">
        <v>10</v>
      </c>
      <c r="Q19" s="451">
        <v>10</v>
      </c>
      <c r="R19" s="451">
        <v>10</v>
      </c>
      <c r="S19" s="451">
        <v>10</v>
      </c>
      <c r="T19" s="451">
        <v>10</v>
      </c>
      <c r="U19" s="451">
        <v>10</v>
      </c>
      <c r="V19" s="451">
        <v>10</v>
      </c>
      <c r="W19" s="45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382EA2-221E-6C73-4403-FE62E1DCFA8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13">
        <f>INDEX(PT_DIFFERENTIATION_NUM_NTAR,MATCH(A2,PT_DIFFERENTIATION_NTAR_ID,0))</f>
      </c>
      <c r="T2" s="302" t="s">
        <v>143</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414</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08"/>
      <c r="Q3" s="356"/>
      <c r="R3" s="357"/>
      <c r="S3" s="1313">
        <f>INDEX(PT_DIFFERENTIATION_NUM_TER,MATCH(B3,PT_DIFFERENTIATION_TER_ID,0))</f>
      </c>
      <c r="T3" s="312" t="s">
        <v>415</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416</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13">
        <f>INDEX(PT_DIFFERENTIATION_NUM_CS,MATCH(C4,PT_DIFFERENTIATION_CS_ID,0))</f>
      </c>
      <c r="T4" s="313" t="s">
        <v>417</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418</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13">
        <f>INDEX(PT_DIFFERENTIATION_NUM_IST_TE,MATCH(D5,PT_DIFFERENTIATION_IST_TE_ID,0))</f>
      </c>
      <c r="T5" s="314" t="s">
        <v>419</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420</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421</v>
      </c>
      <c r="M6" s="541"/>
      <c r="P6" s="2261">
        <v>1</v>
      </c>
      <c r="Q6" s="1309"/>
      <c r="R6" s="360"/>
      <c r="S6" s="1313">
        <f>$I6</f>
      </c>
      <c r="T6" s="289" t="s">
        <v>422</v>
      </c>
      <c r="U6" s="304"/>
      <c r="V6" s="2249"/>
      <c r="W6" s="2250"/>
      <c r="X6" s="2250"/>
      <c r="Y6" s="2250"/>
      <c r="Z6" s="2250"/>
      <c r="AA6" s="2250"/>
      <c r="AB6" s="2250"/>
      <c r="AC6" s="2251"/>
      <c r="AD6" s="2249"/>
      <c r="AE6" s="2250"/>
      <c r="AF6" s="2250"/>
      <c r="AG6" s="2250"/>
      <c r="AH6" s="2250"/>
      <c r="AI6" s="2250"/>
      <c r="AJ6" s="2250"/>
      <c r="AK6" s="2250"/>
      <c r="AL6" s="2251"/>
      <c r="AM6" s="1262" t="s">
        <v>423</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424</v>
      </c>
      <c r="M7" s="541"/>
      <c r="N7" s="1370"/>
      <c r="P7" s="2261"/>
      <c r="Q7" s="2261">
        <v>1</v>
      </c>
      <c r="R7" s="361"/>
      <c r="S7" s="1313">
        <f>$J7</f>
      </c>
      <c r="T7" s="290" t="s">
        <v>425</v>
      </c>
      <c r="U7" s="304"/>
      <c r="V7" s="2249"/>
      <c r="W7" s="2250"/>
      <c r="X7" s="2250"/>
      <c r="Y7" s="2250"/>
      <c r="Z7" s="2250"/>
      <c r="AA7" s="2250"/>
      <c r="AB7" s="2250"/>
      <c r="AC7" s="2251"/>
      <c r="AD7" s="2249"/>
      <c r="AE7" s="2250"/>
      <c r="AF7" s="2250"/>
      <c r="AG7" s="2250"/>
      <c r="AH7" s="2250"/>
      <c r="AI7" s="2250"/>
      <c r="AJ7" s="2250"/>
      <c r="AK7" s="2250"/>
      <c r="AL7" s="2251"/>
      <c r="AM7" s="1262" t="s">
        <v>426</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427</v>
      </c>
      <c r="M8" s="541"/>
      <c r="N8" s="1370"/>
      <c r="O8" s="1370"/>
      <c r="P8" s="2261"/>
      <c r="Q8" s="2261"/>
      <c r="R8" s="361">
        <v>1</v>
      </c>
      <c r="S8" s="1313">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428</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10"/>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429</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09"/>
      <c r="R11" s="360"/>
      <c r="S11" s="1282"/>
      <c r="T11" s="291" t="s">
        <v>430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431</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433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434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P17" s="1315"/>
      <c r="AD17" s="1364"/>
      <c r="AE17" s="1364"/>
      <c r="AF17" s="1364"/>
      <c r="AG17" s="1365"/>
      <c r="AH17" s="2271"/>
      <c r="AI17" s="2272" t="s">
        <v>62</v>
      </c>
      <c r="AJ17" s="2271"/>
      <c r="AK17" s="2272" t="s">
        <v>62</v>
      </c>
      <c r="AS17" s="1159">
        <v>0</v>
      </c>
    </row>
    <row customHeight="1" ht="14.25" hidden="1">
      <c r="P18" s="1315"/>
      <c r="AD18" s="1364"/>
      <c r="AE18" s="1364"/>
      <c r="AF18" s="1364"/>
      <c r="AG18" s="332" t="str">
        <f>AH17&amp;"-"&amp;AJ17</f>
        <v>-</v>
      </c>
      <c r="AH18" s="2272"/>
      <c r="AI18" s="2272"/>
      <c r="AJ18" s="2272"/>
      <c r="AK18" s="2272"/>
      <c r="AS18" s="1159">
        <v>0</v>
      </c>
    </row>
    <row customHeight="1" ht="14.25" hidden="1">
      <c r="P19" s="1315"/>
      <c r="AK19" s="331"/>
      <c r="AS19" s="1159">
        <v>0</v>
      </c>
    </row>
    <row s="1370" customFormat="1" customHeight="1" ht="22.5" hidden="1">
      <c r="L20" s="1333"/>
      <c r="M20" s="1366"/>
      <c r="N20" s="1366"/>
      <c r="O20" s="1371" t="s">
        <v>435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436</v>
      </c>
      <c r="P22" s="1366"/>
      <c r="Q22" s="1375"/>
      <c r="R22" s="1375"/>
      <c r="S22" s="733"/>
      <c r="T22" s="1164" t="s">
        <v>437</v>
      </c>
      <c r="AA22" s="190" t="s">
        <v>438</v>
      </c>
      <c r="AC22" s="190" t="s">
        <v>439</v>
      </c>
      <c r="AD22" s="1164" t="s">
        <v>437</v>
      </c>
      <c r="AI22" s="190" t="s">
        <v>440</v>
      </c>
      <c r="AK22" s="190" t="s">
        <v>439</v>
      </c>
      <c r="AN22" s="515"/>
      <c r="AO22" s="515"/>
      <c r="AP22" s="515"/>
      <c r="AQ22" s="515"/>
      <c r="AR22" s="515"/>
      <c r="AS22" s="1164">
        <v>0</v>
      </c>
    </row>
    <row customHeight="1" ht="14.25" hidden="1">
      <c r="O23" s="1368"/>
      <c r="P23" s="1315"/>
      <c r="AS23" s="1159">
        <v>0</v>
      </c>
    </row>
    <row customHeight="1" ht="14.25" hidden="1">
      <c r="O24" s="1368"/>
      <c r="P24" s="1315"/>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АО "Теплоэнерго"</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41</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441</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442</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42</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P33" s="1332"/>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443</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444</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223"/>
      <c r="V36" s="330"/>
      <c r="W36" s="330"/>
      <c r="X36" s="330"/>
      <c r="Y36" s="330"/>
      <c r="Z36" s="330"/>
      <c r="AA36" s="330"/>
      <c r="AB36" s="330"/>
      <c r="AC36" s="282" t="s">
        <v>445</v>
      </c>
      <c r="AD36" s="330"/>
      <c r="AE36" s="330"/>
      <c r="AF36" s="330"/>
      <c r="AG36" s="330"/>
      <c r="AH36" s="330"/>
      <c r="AI36" s="330"/>
      <c r="AJ36" s="330"/>
      <c r="AK36" s="282" t="s">
        <v>445</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318</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319</v>
      </c>
      <c r="AS38" s="1159">
        <v>14</v>
      </c>
    </row>
    <row customHeight="1" ht="14.699999999999998">
      <c r="Q39" s="380"/>
      <c r="R39" s="380"/>
      <c r="S39" s="2277" t="s">
        <v>88</v>
      </c>
      <c r="T39" s="2213" t="s">
        <v>446</v>
      </c>
      <c r="U39" s="305"/>
      <c r="V39" s="2278" t="s">
        <v>447</v>
      </c>
      <c r="W39" s="2279"/>
      <c r="X39" s="2279"/>
      <c r="Y39" s="2279"/>
      <c r="Z39" s="2279"/>
      <c r="AA39" s="2279"/>
      <c r="AB39" s="2280"/>
      <c r="AC39" s="2281" t="s">
        <v>448</v>
      </c>
      <c r="AD39" s="2278" t="s">
        <v>447</v>
      </c>
      <c r="AE39" s="2279"/>
      <c r="AF39" s="2279"/>
      <c r="AG39" s="2279"/>
      <c r="AH39" s="2279"/>
      <c r="AI39" s="2279"/>
      <c r="AJ39" s="2280"/>
      <c r="AK39" s="2281" t="s">
        <v>449</v>
      </c>
      <c r="AL39" s="2284" t="s">
        <v>450</v>
      </c>
      <c r="AM39" s="2131"/>
      <c r="AS39" s="1159">
        <v>14</v>
      </c>
    </row>
    <row customHeight="1" ht="35.699999999999996">
      <c r="Q40" s="380"/>
      <c r="R40" s="380"/>
      <c r="S40" s="2277"/>
      <c r="T40" s="2213"/>
      <c r="U40" s="1035"/>
      <c r="V40" s="2264" t="s">
        <v>451</v>
      </c>
      <c r="W40" s="2614" t="s">
        <v>452</v>
      </c>
      <c r="X40" s="2266" t="s">
        <v>453</v>
      </c>
      <c r="Y40" s="2267"/>
      <c r="Z40" s="2266" t="s">
        <v>454</v>
      </c>
      <c r="AA40" s="2273"/>
      <c r="AB40" s="2267"/>
      <c r="AC40" s="2282"/>
      <c r="AD40" s="2264" t="s">
        <v>451</v>
      </c>
      <c r="AE40" s="2287" t="s">
        <v>452</v>
      </c>
      <c r="AF40" s="2266" t="s">
        <v>453</v>
      </c>
      <c r="AG40" s="2267"/>
      <c r="AH40" s="2266" t="s">
        <v>454</v>
      </c>
      <c r="AI40" s="2273"/>
      <c r="AJ40" s="2267"/>
      <c r="AK40" s="2282"/>
      <c r="AL40" s="2285"/>
      <c r="AM40" s="2131"/>
      <c r="AS40" s="1159">
        <v>34</v>
      </c>
    </row>
    <row customHeight="1" ht="35.699999999999996">
      <c r="A41" s="1374"/>
      <c r="B41" s="1374" t="s">
        <v>155</v>
      </c>
      <c r="C41" s="1374" t="s">
        <v>156</v>
      </c>
      <c r="D41" s="1374" t="s">
        <v>157</v>
      </c>
      <c r="E41" s="1368" t="s">
        <v>455</v>
      </c>
      <c r="F41" s="1368" t="s">
        <v>456</v>
      </c>
      <c r="G41" s="1368" t="s">
        <v>457</v>
      </c>
      <c r="H41" s="1368" t="s">
        <v>458</v>
      </c>
      <c r="I41" s="1368" t="s">
        <v>459</v>
      </c>
      <c r="J41" s="1368" t="s">
        <v>460</v>
      </c>
      <c r="K41" s="1368" t="s">
        <v>461</v>
      </c>
      <c r="L41" s="1368" t="s">
        <v>436</v>
      </c>
      <c r="Q41" s="380"/>
      <c r="R41" s="380"/>
      <c r="S41" s="2277"/>
      <c r="T41" s="2213"/>
      <c r="U41" s="306"/>
      <c r="V41" s="2265"/>
      <c r="W41" s="2288"/>
      <c r="X41" s="1226" t="s">
        <v>462</v>
      </c>
      <c r="Y41" s="1226" t="s">
        <v>463</v>
      </c>
      <c r="Z41" s="1225" t="s">
        <v>464</v>
      </c>
      <c r="AA41" s="2274" t="s">
        <v>465</v>
      </c>
      <c r="AB41" s="2275"/>
      <c r="AC41" s="2283"/>
      <c r="AD41" s="2265"/>
      <c r="AE41" s="2288"/>
      <c r="AF41" s="1226" t="s">
        <v>462</v>
      </c>
      <c r="AG41" s="1226" t="s">
        <v>463</v>
      </c>
      <c r="AH41" s="1317" t="s">
        <v>464</v>
      </c>
      <c r="AI41" s="2274" t="s">
        <v>465</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119</v>
      </c>
      <c r="T42" s="1259" t="s">
        <v>103</v>
      </c>
      <c r="U42" s="1249" t="str">
        <f>OFFSET(U42,0,-1)</f>
        <v>2</v>
      </c>
      <c r="V42" s="1260">
        <f>OFFSET(V42,0,-1)+1</f>
        <v>3</v>
      </c>
      <c r="W42" s="1260"/>
      <c r="X42" s="1260">
        <f>OFFSET(X42,0,-1)+1</f>
        <v>1</v>
      </c>
      <c r="Y42" s="1260">
        <f>OFFSET(Y42,0,-1)+1</f>
        <v>2</v>
      </c>
      <c r="Z42" s="1260">
        <f>OFFSET(Z42,0,-1)+1</f>
        <v>3</v>
      </c>
      <c r="AA42" s="2276">
        <f>OFFSET(AA42,0,-1)+1</f>
        <v>4</v>
      </c>
      <c r="AB42" s="2276"/>
      <c r="AC42" s="1260">
        <f>OFFSET(AC42,0,-2)+1</f>
        <v>5</v>
      </c>
      <c r="AD42" s="1316">
        <f>OFFSET(AD42,0,-1)+1</f>
        <v>6</v>
      </c>
      <c r="AE42" s="1316"/>
      <c r="AF42" s="1316">
        <f>OFFSET(AF42,0,-1)+1</f>
        <v>1</v>
      </c>
      <c r="AG42" s="1316">
        <f>OFFSET(AG42,0,-1)+1</f>
        <v>2</v>
      </c>
      <c r="AH42" s="1316">
        <f>OFFSET(AH42,0,-1)+1</f>
        <v>3</v>
      </c>
      <c r="AI42" s="2276">
        <f>OFFSET(AI42,0,-1)+1</f>
        <v>4</v>
      </c>
      <c r="AJ42" s="2276"/>
      <c r="AK42" s="1316">
        <f>OFFSET(AK42,0,-2)+1</f>
        <v>5</v>
      </c>
      <c r="AL42" s="1249">
        <f>OFFSET(AL42,0,-1)</f>
        <v>5</v>
      </c>
      <c r="AM42" s="1260">
        <f>OFFSET(AM42,0,-1)+1</f>
        <v>6</v>
      </c>
      <c r="AN42" s="515"/>
      <c r="AO42" s="515"/>
      <c r="AP42" s="515"/>
      <c r="AQ42" s="515"/>
      <c r="AR42" s="515"/>
      <c r="AS42" s="500">
        <v>0</v>
      </c>
    </row>
    <row customHeight="1" ht="24">
      <c r="A43" s="1367" t="s">
        <v>176</v>
      </c>
      <c r="B43" s="1367"/>
      <c r="C43" s="1367"/>
      <c r="D43" s="1367"/>
      <c r="E43" s="2262">
        <v>1</v>
      </c>
      <c r="F43" s="1367"/>
      <c r="G43" s="1367"/>
      <c r="H43" s="1367"/>
      <c r="I43" s="1367"/>
      <c r="J43" s="1367"/>
      <c r="K43" s="1367"/>
      <c r="L43" s="1368"/>
      <c r="M43" s="1369"/>
      <c r="N43" s="1369"/>
      <c r="O43" s="1369"/>
      <c r="P43" s="365"/>
      <c r="Q43" s="364"/>
      <c r="R43" s="359"/>
      <c r="S43" s="1228">
        <f>INDEX(PT_DIFFERENTIATION_NUM_NTAR,MATCH(A43,PT_DIFFERENTIATION_NTAR_ID,0))</f>
        <v>0</v>
      </c>
      <c r="T43" s="302" t="s">
        <v>143</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23</v>
      </c>
    </row>
    <row customHeight="1" ht="24">
      <c r="A44" s="1367" t="s">
        <v>176</v>
      </c>
      <c r="B44" s="1367" t="s">
        <v>177</v>
      </c>
      <c r="C44" s="1367"/>
      <c r="D44" s="1367"/>
      <c r="E44" s="2263"/>
      <c r="F44" s="2262">
        <v>1</v>
      </c>
      <c r="G44" s="1367"/>
      <c r="H44" s="1367"/>
      <c r="I44" s="1367"/>
      <c r="J44" s="1367"/>
      <c r="K44" s="1367"/>
      <c r="L44" s="1368"/>
      <c r="M44" s="1369"/>
      <c r="N44" s="1369"/>
      <c r="O44" s="1369"/>
      <c r="P44" s="526"/>
      <c r="Q44" s="356"/>
      <c r="R44" s="357"/>
      <c r="S44" s="1228" t="str">
        <f>INDEX(PT_DIFFERENTIATION_NUM_TER,MATCH(B44,PT_DIFFERENTIATION_TER_ID,0))</f>
        <v>.</v>
      </c>
      <c r="T44" s="312" t="s">
        <v>415</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416</v>
      </c>
      <c r="AO44" s="504"/>
      <c r="AP44" s="504" t="str">
        <f>IF(T44="","",T44)</f>
        <v>Территория действия тарифа</v>
      </c>
      <c r="AQ44" s="504"/>
      <c r="AR44" s="504"/>
      <c r="AS44" s="1159">
        <v>23</v>
      </c>
    </row>
    <row customHeight="1" ht="24">
      <c r="A45" s="1367" t="s">
        <v>176</v>
      </c>
      <c r="B45" s="1367" t="s">
        <v>177</v>
      </c>
      <c r="C45" s="1367" t="s">
        <v>178</v>
      </c>
      <c r="D45" s="1367"/>
      <c r="E45" s="2263"/>
      <c r="F45" s="2263"/>
      <c r="G45" s="2262">
        <v>1</v>
      </c>
      <c r="H45" s="1367"/>
      <c r="I45" s="1367"/>
      <c r="J45" s="1367"/>
      <c r="K45" s="1367"/>
      <c r="L45" s="1368"/>
      <c r="M45" s="1369"/>
      <c r="N45" s="1369"/>
      <c r="O45" s="1369"/>
      <c r="P45" s="358"/>
      <c r="Q45" s="356"/>
      <c r="R45" s="357"/>
      <c r="S45" s="1228" t="str">
        <f>INDEX(PT_DIFFERENTIATION_NUM_CS,MATCH(C45,PT_DIFFERENTIATION_CS_ID,0))</f>
        <v>..</v>
      </c>
      <c r="T45" s="313" t="s">
        <v>417</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418</v>
      </c>
      <c r="AO45" s="504"/>
      <c r="AP45" s="504" t="str">
        <f>IF(T45="","",T45)</f>
        <v>Наименование системы теплоснабжения </v>
      </c>
      <c r="AQ45" s="504"/>
      <c r="AR45" s="504"/>
      <c r="AS45" s="1159">
        <v>23</v>
      </c>
    </row>
    <row customHeight="1" ht="24">
      <c r="A46" s="1367" t="s">
        <v>176</v>
      </c>
      <c r="B46" s="1367" t="s">
        <v>177</v>
      </c>
      <c r="C46" s="1367" t="s">
        <v>178</v>
      </c>
      <c r="D46" s="1367" t="s">
        <v>179</v>
      </c>
      <c r="E46" s="2263"/>
      <c r="F46" s="2263"/>
      <c r="G46" s="2263"/>
      <c r="H46" s="2262">
        <v>1</v>
      </c>
      <c r="I46" s="1367"/>
      <c r="J46" s="1367"/>
      <c r="K46" s="1367"/>
      <c r="L46" s="1368"/>
      <c r="M46" s="1369"/>
      <c r="N46" s="1369"/>
      <c r="O46" s="1369"/>
      <c r="P46" s="358"/>
      <c r="Q46" s="356"/>
      <c r="R46" s="357"/>
      <c r="S46" s="1228" t="str">
        <f>INDEX(PT_DIFFERENTIATION_NUM_IST_TE,MATCH(D46,PT_DIFFERENTIATION_IST_TE_ID,0))</f>
        <v>...</v>
      </c>
      <c r="T46" s="314" t="s">
        <v>419</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420</v>
      </c>
      <c r="AO46" s="504"/>
      <c r="AP46" s="504" t="str">
        <f>IF(T46="","",T46)</f>
        <v>Источник тепловой энергии  </v>
      </c>
      <c r="AQ46" s="504"/>
      <c r="AR46" s="504"/>
      <c r="AS46" s="1159">
        <v>23</v>
      </c>
    </row>
    <row customHeight="1" ht="49.5">
      <c r="A47" s="1367" t="s">
        <v>176</v>
      </c>
      <c r="B47" s="1367" t="s">
        <v>177</v>
      </c>
      <c r="C47" s="1367" t="s">
        <v>178</v>
      </c>
      <c r="D47" s="1367" t="s">
        <v>179</v>
      </c>
      <c r="E47" s="2263"/>
      <c r="F47" s="2263"/>
      <c r="G47" s="2263"/>
      <c r="H47" s="2263"/>
      <c r="I47" s="2260" t="str">
        <f>S46&amp;".1"</f>
        <v>....1</v>
      </c>
      <c r="J47" s="1367"/>
      <c r="K47" s="1367"/>
      <c r="L47" s="1368" t="s">
        <v>421</v>
      </c>
      <c r="P47" s="2261">
        <v>1</v>
      </c>
      <c r="Q47" s="1224"/>
      <c r="R47" s="360"/>
      <c r="S47" s="1228" t="str">
        <f>$I47</f>
        <v>....1</v>
      </c>
      <c r="T47" s="289" t="s">
        <v>422</v>
      </c>
      <c r="U47" s="304"/>
      <c r="V47" s="2249"/>
      <c r="W47" s="2250"/>
      <c r="X47" s="2250"/>
      <c r="Y47" s="2250"/>
      <c r="Z47" s="2250"/>
      <c r="AA47" s="2250"/>
      <c r="AB47" s="2250"/>
      <c r="AC47" s="2251"/>
      <c r="AD47" s="2249"/>
      <c r="AE47" s="2250"/>
      <c r="AF47" s="2250"/>
      <c r="AG47" s="2250"/>
      <c r="AH47" s="2250"/>
      <c r="AI47" s="2250"/>
      <c r="AJ47" s="2250"/>
      <c r="AK47" s="2250"/>
      <c r="AL47" s="2251"/>
      <c r="AM47" s="1262" t="s">
        <v>423</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4">
      <c r="A48" s="1367" t="s">
        <v>176</v>
      </c>
      <c r="B48" s="1367" t="s">
        <v>177</v>
      </c>
      <c r="C48" s="1367" t="s">
        <v>178</v>
      </c>
      <c r="D48" s="1367" t="s">
        <v>179</v>
      </c>
      <c r="E48" s="2263"/>
      <c r="F48" s="2263"/>
      <c r="G48" s="2263"/>
      <c r="H48" s="2263"/>
      <c r="I48" s="2290"/>
      <c r="J48" s="2260" t="str">
        <f>I47&amp;".1"</f>
        <v>....1.1</v>
      </c>
      <c r="K48" s="1367"/>
      <c r="L48" s="1368" t="s">
        <v>424</v>
      </c>
      <c r="P48" s="2261"/>
      <c r="Q48" s="2261">
        <v>1</v>
      </c>
      <c r="R48" s="361"/>
      <c r="S48" s="1228" t="str">
        <f>$J48</f>
        <v>....1.1</v>
      </c>
      <c r="T48" s="290" t="s">
        <v>425</v>
      </c>
      <c r="U48" s="304"/>
      <c r="V48" s="2249"/>
      <c r="W48" s="2250"/>
      <c r="X48" s="2250"/>
      <c r="Y48" s="2250"/>
      <c r="Z48" s="2250"/>
      <c r="AA48" s="2250"/>
      <c r="AB48" s="2250"/>
      <c r="AC48" s="2251"/>
      <c r="AD48" s="2249"/>
      <c r="AE48" s="2250"/>
      <c r="AF48" s="2250"/>
      <c r="AG48" s="2250"/>
      <c r="AH48" s="2250"/>
      <c r="AI48" s="2250"/>
      <c r="AJ48" s="2250"/>
      <c r="AK48" s="2250"/>
      <c r="AL48" s="2251"/>
      <c r="AM48" s="1262" t="s">
        <v>426</v>
      </c>
      <c r="AO48" s="504"/>
      <c r="AP48" s="504" t="str">
        <f>IF(T48="","",T48)</f>
        <v>Группа потребителей</v>
      </c>
      <c r="AQ48" s="504"/>
      <c r="AR48" s="504"/>
      <c r="AS48" s="1159">
        <v>23</v>
      </c>
    </row>
    <row customHeight="1" ht="24">
      <c r="A49" s="1367" t="s">
        <v>176</v>
      </c>
      <c r="B49" s="1367" t="s">
        <v>177</v>
      </c>
      <c r="C49" s="1367" t="s">
        <v>178</v>
      </c>
      <c r="D49" s="1367" t="s">
        <v>179</v>
      </c>
      <c r="E49" s="2263"/>
      <c r="F49" s="2263"/>
      <c r="G49" s="2263"/>
      <c r="H49" s="2263"/>
      <c r="I49" s="2290"/>
      <c r="J49" s="2290"/>
      <c r="K49" s="2260" t="str">
        <f>J48&amp;".1"</f>
        <v>....1.1.1</v>
      </c>
      <c r="L49" s="1368" t="s">
        <v>427</v>
      </c>
      <c r="P49" s="2261"/>
      <c r="Q49" s="2261"/>
      <c r="R49" s="361">
        <v>1</v>
      </c>
      <c r="S49" s="1228" t="str">
        <f>$K49</f>
        <v>....1.1.1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428</v>
      </c>
      <c r="AN49" s="515">
        <f>STRCHECKDATE(V50:AL50)</f>
      </c>
      <c r="AO49" s="504"/>
      <c r="AP49" s="504" t="str">
        <f>IF(T49="","",T49)</f>
        <v/>
      </c>
      <c r="AQ49" s="504"/>
      <c r="AR49" s="504"/>
      <c r="AS49" s="1159">
        <v>23</v>
      </c>
    </row>
    <row customHeight="1" ht="1.05">
      <c r="A50" s="1367" t="s">
        <v>176</v>
      </c>
      <c r="B50" s="1367" t="s">
        <v>177</v>
      </c>
      <c r="C50" s="1367" t="s">
        <v>178</v>
      </c>
      <c r="D50" s="1367" t="s">
        <v>179</v>
      </c>
      <c r="E50" s="2263"/>
      <c r="F50" s="2263"/>
      <c r="G50" s="2263"/>
      <c r="H50" s="2263"/>
      <c r="I50" s="2290"/>
      <c r="J50" s="2290"/>
      <c r="K50" s="2260"/>
      <c r="L50" s="1368"/>
      <c r="P50" s="2261"/>
      <c r="Q50" s="2261"/>
      <c r="R50" s="361"/>
      <c r="S50" s="1227"/>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176</v>
      </c>
      <c r="B51" s="1367" t="s">
        <v>177</v>
      </c>
      <c r="C51" s="1367" t="s">
        <v>178</v>
      </c>
      <c r="D51" s="1367" t="s">
        <v>179</v>
      </c>
      <c r="E51" s="2263"/>
      <c r="F51" s="2263"/>
      <c r="G51" s="2263"/>
      <c r="H51" s="2263"/>
      <c r="I51" s="2290"/>
      <c r="J51" s="2260"/>
      <c r="K51" s="1367"/>
      <c r="L51" s="1368"/>
      <c r="P51" s="2261"/>
      <c r="Q51" s="2261"/>
      <c r="R51" s="360"/>
      <c r="S51" s="1282"/>
      <c r="T51" s="292" t="s">
        <v>429</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176</v>
      </c>
      <c r="B52" s="1367" t="s">
        <v>177</v>
      </c>
      <c r="C52" s="1367" t="s">
        <v>178</v>
      </c>
      <c r="D52" s="1367" t="s">
        <v>179</v>
      </c>
      <c r="E52" s="2263"/>
      <c r="F52" s="2263"/>
      <c r="G52" s="2263"/>
      <c r="H52" s="2263"/>
      <c r="I52" s="2260"/>
      <c r="J52" s="1367"/>
      <c r="K52" s="1367"/>
      <c r="L52" s="1368"/>
      <c r="P52" s="2261"/>
      <c r="Q52" s="1224"/>
      <c r="R52" s="360"/>
      <c r="S52" s="1282"/>
      <c r="T52" s="291" t="s">
        <v>430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176</v>
      </c>
      <c r="B53" s="1367" t="s">
        <v>177</v>
      </c>
      <c r="C53" s="1367" t="s">
        <v>178</v>
      </c>
      <c r="D53" s="1367" t="s">
        <v>179</v>
      </c>
      <c r="E53" s="2263"/>
      <c r="F53" s="2263"/>
      <c r="G53" s="2263"/>
      <c r="H53" s="2262"/>
      <c r="I53" s="1367"/>
      <c r="J53" s="1367"/>
      <c r="K53" s="1367"/>
      <c r="L53" s="1368"/>
      <c r="M53" s="1369"/>
      <c r="N53" s="1369"/>
      <c r="O53" s="541"/>
      <c r="P53" s="364"/>
      <c r="Q53" s="379"/>
      <c r="R53" s="359"/>
      <c r="S53" s="1282"/>
      <c r="T53" s="369" t="s">
        <v>431</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176</v>
      </c>
      <c r="B54" s="1347" t="s">
        <v>177</v>
      </c>
      <c r="C54" s="1347" t="s">
        <v>178</v>
      </c>
      <c r="D54" s="1318"/>
      <c r="E54" s="2263"/>
      <c r="F54" s="2263"/>
      <c r="G54" s="2262"/>
      <c r="H54" s="1318"/>
      <c r="I54" s="1318"/>
      <c r="J54" s="1318"/>
      <c r="K54" s="1318"/>
      <c r="L54" s="1343"/>
      <c r="M54" s="1319"/>
      <c r="N54" s="1319"/>
      <c r="P54" s="1320"/>
      <c r="Q54" s="1321"/>
      <c r="R54" s="1320"/>
      <c r="S54" s="1326"/>
      <c r="T54" s="1329" t="s">
        <v>432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176</v>
      </c>
      <c r="B55" s="1347" t="s">
        <v>177</v>
      </c>
      <c r="C55" s="1318"/>
      <c r="D55" s="1318"/>
      <c r="E55" s="2263"/>
      <c r="F55" s="2262"/>
      <c r="G55" s="1318"/>
      <c r="H55" s="1318"/>
      <c r="I55" s="1318"/>
      <c r="J55" s="1318"/>
      <c r="K55" s="1318"/>
      <c r="L55" s="1343"/>
      <c r="M55" s="1325"/>
      <c r="N55" s="1325"/>
      <c r="P55" s="1320"/>
      <c r="Q55" s="1321"/>
      <c r="R55" s="1320"/>
      <c r="S55" s="1326"/>
      <c r="T55" s="1329" t="s">
        <v>433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176</v>
      </c>
      <c r="B56" s="1347"/>
      <c r="C56" s="1347"/>
      <c r="D56" s="1347"/>
      <c r="E56" s="2262"/>
      <c r="F56" s="1347"/>
      <c r="G56" s="1347"/>
      <c r="H56" s="1347"/>
      <c r="I56" s="1347"/>
      <c r="J56" s="1347"/>
      <c r="K56" s="1347"/>
      <c r="L56" s="1350"/>
      <c r="M56" s="1325"/>
      <c r="N56" s="1325"/>
      <c r="O56" s="522"/>
      <c r="P56" s="384"/>
      <c r="Q56" s="1348"/>
      <c r="R56" s="384"/>
      <c r="S56" s="1326"/>
      <c r="T56" s="1329" t="s">
        <v>434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466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7.2">
      <c r="O60" s="541"/>
      <c r="P60" s="1307"/>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64</v>
      </c>
    </row>
    <row customHeight="1" ht="14.699999999999998">
      <c r="O61" s="541"/>
      <c r="AS61" s="1159">
        <v>14</v>
      </c>
    </row>
    <row customHeight="1" ht="18.75">
      <c r="O62" s="541"/>
      <c r="P62" s="1332"/>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P63" s="1332"/>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P64" s="1332"/>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82</v>
      </c>
      <c r="B65" s="1164">
        <v>0</v>
      </c>
      <c r="C65" s="1164">
        <v>0</v>
      </c>
      <c r="D65" s="1164">
        <v>0</v>
      </c>
      <c r="E65" s="1164">
        <v>0</v>
      </c>
      <c r="F65" s="1164">
        <v>0</v>
      </c>
      <c r="G65" s="1164">
        <v>0</v>
      </c>
      <c r="H65" s="1164">
        <v>0</v>
      </c>
      <c r="I65" s="1164">
        <v>0</v>
      </c>
      <c r="J65" s="1164">
        <v>0</v>
      </c>
      <c r="K65" s="1164">
        <v>0</v>
      </c>
      <c r="L65" s="1333">
        <v>0</v>
      </c>
      <c r="M65" s="1366">
        <v>0</v>
      </c>
      <c r="N65" s="1366">
        <v>0</v>
      </c>
      <c r="O65" s="1366">
        <v>0</v>
      </c>
      <c r="P65" s="1222">
        <v>3</v>
      </c>
      <c r="Q65" s="348">
        <v>3</v>
      </c>
      <c r="R65" s="348">
        <v>3</v>
      </c>
      <c r="S65" s="585">
        <v>12</v>
      </c>
      <c r="T65" s="1159">
        <v>35</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B5703B-2E87-633E-94E1-E77E07FD283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143</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414</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415</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416</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417</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418</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419</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420</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421</v>
      </c>
      <c r="M6" s="541"/>
      <c r="P6" s="2261">
        <v>1</v>
      </c>
      <c r="Q6" s="1335"/>
      <c r="R6" s="360"/>
      <c r="S6" s="1340">
        <f>$I6</f>
      </c>
      <c r="T6" s="289" t="s">
        <v>422</v>
      </c>
      <c r="U6" s="304"/>
      <c r="V6" s="2249"/>
      <c r="W6" s="2250"/>
      <c r="X6" s="2250"/>
      <c r="Y6" s="2250"/>
      <c r="Z6" s="2250"/>
      <c r="AA6" s="2250"/>
      <c r="AB6" s="2250"/>
      <c r="AC6" s="2251"/>
      <c r="AD6" s="2249"/>
      <c r="AE6" s="2250"/>
      <c r="AF6" s="2250"/>
      <c r="AG6" s="2250"/>
      <c r="AH6" s="2250"/>
      <c r="AI6" s="2250"/>
      <c r="AJ6" s="2250"/>
      <c r="AK6" s="2250"/>
      <c r="AL6" s="2251"/>
      <c r="AM6" s="1262" t="s">
        <v>423</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424</v>
      </c>
      <c r="M7" s="541"/>
      <c r="N7" s="1370"/>
      <c r="P7" s="2261"/>
      <c r="Q7" s="2261">
        <v>1</v>
      </c>
      <c r="R7" s="361"/>
      <c r="S7" s="1340">
        <f>$J7</f>
      </c>
      <c r="T7" s="290" t="s">
        <v>425</v>
      </c>
      <c r="U7" s="304"/>
      <c r="V7" s="2249"/>
      <c r="W7" s="2250"/>
      <c r="X7" s="2250"/>
      <c r="Y7" s="2250"/>
      <c r="Z7" s="2250"/>
      <c r="AA7" s="2250"/>
      <c r="AB7" s="2250"/>
      <c r="AC7" s="2251"/>
      <c r="AD7" s="2249"/>
      <c r="AE7" s="2250"/>
      <c r="AF7" s="2250"/>
      <c r="AG7" s="2250"/>
      <c r="AH7" s="2250"/>
      <c r="AI7" s="2250"/>
      <c r="AJ7" s="2250"/>
      <c r="AK7" s="2250"/>
      <c r="AL7" s="2251"/>
      <c r="AM7" s="1262" t="s">
        <v>426</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427</v>
      </c>
      <c r="M8" s="541"/>
      <c r="N8" s="1370"/>
      <c r="O8" s="1370"/>
      <c r="P8" s="2261"/>
      <c r="Q8" s="2261"/>
      <c r="R8" s="361">
        <v>1</v>
      </c>
      <c r="S8" s="1340">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428</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429</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430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431</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433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434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436</v>
      </c>
      <c r="P22" s="1366"/>
      <c r="Q22" s="1375"/>
      <c r="R22" s="1375"/>
      <c r="S22" s="733"/>
      <c r="T22" s="1164" t="s">
        <v>437</v>
      </c>
      <c r="AA22" s="190" t="s">
        <v>438</v>
      </c>
      <c r="AC22" s="190" t="s">
        <v>439</v>
      </c>
      <c r="AD22" s="1164" t="s">
        <v>437</v>
      </c>
      <c r="AI22" s="190" t="s">
        <v>440</v>
      </c>
      <c r="AK22" s="190" t="s">
        <v>439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АО "Теплоэнерго"</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41</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441</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442</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42</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443</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444</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445</v>
      </c>
      <c r="AD36" s="330"/>
      <c r="AE36" s="330"/>
      <c r="AF36" s="330"/>
      <c r="AG36" s="330"/>
      <c r="AH36" s="330"/>
      <c r="AI36" s="330"/>
      <c r="AJ36" s="330"/>
      <c r="AK36" s="282" t="s">
        <v>445</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318</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319</v>
      </c>
      <c r="AS38" s="1159">
        <v>14</v>
      </c>
    </row>
    <row customHeight="1" ht="14.699999999999998">
      <c r="Q39" s="380"/>
      <c r="R39" s="380"/>
      <c r="S39" s="2277" t="s">
        <v>88</v>
      </c>
      <c r="T39" s="2213" t="s">
        <v>446</v>
      </c>
      <c r="U39" s="305"/>
      <c r="V39" s="2278" t="s">
        <v>447</v>
      </c>
      <c r="W39" s="2279"/>
      <c r="X39" s="2279"/>
      <c r="Y39" s="2279"/>
      <c r="Z39" s="2279"/>
      <c r="AA39" s="2279"/>
      <c r="AB39" s="2280"/>
      <c r="AC39" s="2281" t="s">
        <v>448</v>
      </c>
      <c r="AD39" s="2278" t="s">
        <v>447</v>
      </c>
      <c r="AE39" s="2279"/>
      <c r="AF39" s="2279"/>
      <c r="AG39" s="2279"/>
      <c r="AH39" s="2279"/>
      <c r="AI39" s="2279"/>
      <c r="AJ39" s="2280"/>
      <c r="AK39" s="2281" t="s">
        <v>449</v>
      </c>
      <c r="AL39" s="2284" t="s">
        <v>450</v>
      </c>
      <c r="AM39" s="2131"/>
      <c r="AS39" s="1159">
        <v>14</v>
      </c>
    </row>
    <row customHeight="1" ht="35.699999999999996">
      <c r="Q40" s="380"/>
      <c r="R40" s="380"/>
      <c r="S40" s="2277"/>
      <c r="T40" s="2213"/>
      <c r="U40" s="1035"/>
      <c r="V40" s="2264" t="s">
        <v>451</v>
      </c>
      <c r="W40" s="2287" t="s">
        <v>452</v>
      </c>
      <c r="X40" s="2266" t="s">
        <v>453</v>
      </c>
      <c r="Y40" s="2267"/>
      <c r="Z40" s="2266" t="s">
        <v>467</v>
      </c>
      <c r="AA40" s="2273"/>
      <c r="AB40" s="2267"/>
      <c r="AC40" s="2282"/>
      <c r="AD40" s="2264" t="s">
        <v>451</v>
      </c>
      <c r="AE40" s="2287" t="s">
        <v>452</v>
      </c>
      <c r="AF40" s="2266" t="s">
        <v>453</v>
      </c>
      <c r="AG40" s="2267"/>
      <c r="AH40" s="2266" t="s">
        <v>454</v>
      </c>
      <c r="AI40" s="2273"/>
      <c r="AJ40" s="2267"/>
      <c r="AK40" s="2282"/>
      <c r="AL40" s="2285"/>
      <c r="AM40" s="2131"/>
      <c r="AS40" s="1159">
        <v>34</v>
      </c>
    </row>
    <row customHeight="1" ht="35.699999999999996">
      <c r="A41" s="1374"/>
      <c r="B41" s="1374" t="s">
        <v>155</v>
      </c>
      <c r="C41" s="1374" t="s">
        <v>156</v>
      </c>
      <c r="D41" s="1374" t="s">
        <v>157</v>
      </c>
      <c r="E41" s="1368" t="s">
        <v>455</v>
      </c>
      <c r="F41" s="1368" t="s">
        <v>456</v>
      </c>
      <c r="G41" s="1368" t="s">
        <v>457</v>
      </c>
      <c r="H41" s="1368" t="s">
        <v>458</v>
      </c>
      <c r="I41" s="1368" t="s">
        <v>459</v>
      </c>
      <c r="J41" s="1368" t="s">
        <v>460</v>
      </c>
      <c r="K41" s="1368" t="s">
        <v>461</v>
      </c>
      <c r="L41" s="1368" t="s">
        <v>436</v>
      </c>
      <c r="Q41" s="380"/>
      <c r="R41" s="380"/>
      <c r="S41" s="2277"/>
      <c r="T41" s="2213"/>
      <c r="U41" s="306"/>
      <c r="V41" s="2265"/>
      <c r="W41" s="2288"/>
      <c r="X41" s="1226" t="s">
        <v>462</v>
      </c>
      <c r="Y41" s="1226" t="s">
        <v>463</v>
      </c>
      <c r="Z41" s="1342" t="s">
        <v>464</v>
      </c>
      <c r="AA41" s="2274" t="s">
        <v>465</v>
      </c>
      <c r="AB41" s="2275"/>
      <c r="AC41" s="2283"/>
      <c r="AD41" s="2265"/>
      <c r="AE41" s="2288"/>
      <c r="AF41" s="1226" t="s">
        <v>462</v>
      </c>
      <c r="AG41" s="1226" t="s">
        <v>463</v>
      </c>
      <c r="AH41" s="1342" t="s">
        <v>464</v>
      </c>
      <c r="AI41" s="2274" t="s">
        <v>465</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119</v>
      </c>
      <c r="T42" s="1259" t="s">
        <v>103</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181</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143</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181</v>
      </c>
      <c r="B44" s="1367" t="s">
        <v>182</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415</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416</v>
      </c>
      <c r="AO44" s="504"/>
      <c r="AP44" s="504" t="str">
        <f>IF(T44="","",T44)</f>
        <v>Территория действия тарифа</v>
      </c>
      <c r="AQ44" s="504"/>
      <c r="AR44" s="504"/>
      <c r="AS44" s="1159">
        <v>21</v>
      </c>
    </row>
    <row customHeight="1" ht="24">
      <c r="A45" s="1367" t="s">
        <v>181</v>
      </c>
      <c r="B45" s="1367" t="s">
        <v>182</v>
      </c>
      <c r="C45" s="1367" t="s">
        <v>183</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417</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418</v>
      </c>
      <c r="AO45" s="504"/>
      <c r="AP45" s="504" t="str">
        <f>IF(T45="","",T45)</f>
        <v>Наименование системы теплоснабжения </v>
      </c>
      <c r="AQ45" s="504"/>
      <c r="AR45" s="504"/>
      <c r="AS45" s="1159">
        <v>23</v>
      </c>
    </row>
    <row customHeight="1" ht="22.049999999999997">
      <c r="A46" s="1367" t="s">
        <v>181</v>
      </c>
      <c r="B46" s="1367" t="s">
        <v>182</v>
      </c>
      <c r="C46" s="1367" t="s">
        <v>183</v>
      </c>
      <c r="D46" s="1367" t="s">
        <v>184</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419</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420</v>
      </c>
      <c r="AO46" s="504"/>
      <c r="AP46" s="504" t="str">
        <f>IF(T46="","",T46)</f>
        <v>Источник тепловой энергии  </v>
      </c>
      <c r="AQ46" s="504"/>
      <c r="AR46" s="504"/>
      <c r="AS46" s="1159">
        <v>21</v>
      </c>
    </row>
    <row customHeight="1" ht="49.5">
      <c r="A47" s="1367" t="s">
        <v>181</v>
      </c>
      <c r="B47" s="1367" t="s">
        <v>182</v>
      </c>
      <c r="C47" s="1367" t="s">
        <v>183</v>
      </c>
      <c r="D47" s="1367" t="s">
        <v>184</v>
      </c>
      <c r="E47" s="2263"/>
      <c r="F47" s="2263"/>
      <c r="G47" s="2263"/>
      <c r="H47" s="2263"/>
      <c r="I47" s="2260" t="str">
        <f>S46&amp;".1"</f>
        <v>....1</v>
      </c>
      <c r="J47" s="1367"/>
      <c r="K47" s="1367"/>
      <c r="L47" s="1368" t="s">
        <v>421</v>
      </c>
      <c r="P47" s="2261">
        <v>1</v>
      </c>
      <c r="Q47" s="1335"/>
      <c r="R47" s="360"/>
      <c r="S47" s="1340" t="str">
        <f>$I47</f>
        <v>....1</v>
      </c>
      <c r="T47" s="289" t="s">
        <v>422</v>
      </c>
      <c r="U47" s="304"/>
      <c r="V47" s="2249"/>
      <c r="W47" s="2250"/>
      <c r="X47" s="2250"/>
      <c r="Y47" s="2250"/>
      <c r="Z47" s="2250"/>
      <c r="AA47" s="2250"/>
      <c r="AB47" s="2250"/>
      <c r="AC47" s="2251"/>
      <c r="AD47" s="2249"/>
      <c r="AE47" s="2250"/>
      <c r="AF47" s="2250"/>
      <c r="AG47" s="2250"/>
      <c r="AH47" s="2250"/>
      <c r="AI47" s="2250"/>
      <c r="AJ47" s="2250"/>
      <c r="AK47" s="2250"/>
      <c r="AL47" s="2251"/>
      <c r="AM47" s="1262" t="s">
        <v>423</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181</v>
      </c>
      <c r="B48" s="1367" t="s">
        <v>182</v>
      </c>
      <c r="C48" s="1367" t="s">
        <v>183</v>
      </c>
      <c r="D48" s="1367" t="s">
        <v>184</v>
      </c>
      <c r="E48" s="2263"/>
      <c r="F48" s="2263"/>
      <c r="G48" s="2263"/>
      <c r="H48" s="2263"/>
      <c r="I48" s="2290"/>
      <c r="J48" s="2260" t="str">
        <f>I47&amp;".1"</f>
        <v>....1.1</v>
      </c>
      <c r="K48" s="1367"/>
      <c r="L48" s="1368" t="s">
        <v>424</v>
      </c>
      <c r="P48" s="2261"/>
      <c r="Q48" s="2261">
        <v>1</v>
      </c>
      <c r="R48" s="361"/>
      <c r="S48" s="1340" t="str">
        <f>$J48</f>
        <v>....1.1</v>
      </c>
      <c r="T48" s="290" t="s">
        <v>425</v>
      </c>
      <c r="U48" s="304"/>
      <c r="V48" s="2249"/>
      <c r="W48" s="2250"/>
      <c r="X48" s="2250"/>
      <c r="Y48" s="2250"/>
      <c r="Z48" s="2250"/>
      <c r="AA48" s="2250"/>
      <c r="AB48" s="2250"/>
      <c r="AC48" s="2251"/>
      <c r="AD48" s="2249"/>
      <c r="AE48" s="2250"/>
      <c r="AF48" s="2250"/>
      <c r="AG48" s="2250"/>
      <c r="AH48" s="2250"/>
      <c r="AI48" s="2250"/>
      <c r="AJ48" s="2250"/>
      <c r="AK48" s="2250"/>
      <c r="AL48" s="2251"/>
      <c r="AM48" s="1262" t="s">
        <v>426</v>
      </c>
      <c r="AO48" s="504"/>
      <c r="AP48" s="504" t="str">
        <f>IF(T48="","",T48)</f>
        <v>Группа потребителей</v>
      </c>
      <c r="AQ48" s="504"/>
      <c r="AR48" s="504"/>
      <c r="AS48" s="1159">
        <v>21</v>
      </c>
    </row>
    <row customHeight="1" ht="22.049999999999997">
      <c r="A49" s="1367" t="s">
        <v>181</v>
      </c>
      <c r="B49" s="1367" t="s">
        <v>182</v>
      </c>
      <c r="C49" s="1367" t="s">
        <v>183</v>
      </c>
      <c r="D49" s="1367" t="s">
        <v>184</v>
      </c>
      <c r="E49" s="2263"/>
      <c r="F49" s="2263"/>
      <c r="G49" s="2263"/>
      <c r="H49" s="2263"/>
      <c r="I49" s="2290"/>
      <c r="J49" s="2290"/>
      <c r="K49" s="2260" t="str">
        <f>J48&amp;".1"</f>
        <v>....1.1.1</v>
      </c>
      <c r="L49" s="1368" t="s">
        <v>427</v>
      </c>
      <c r="P49" s="2261"/>
      <c r="Q49" s="2261"/>
      <c r="R49" s="361">
        <v>1</v>
      </c>
      <c r="S49" s="1340" t="str">
        <f>$K49</f>
        <v>....1.1.1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428</v>
      </c>
      <c r="AN49" s="515">
        <f>STRCHECKDATE(V50:AL50)</f>
      </c>
      <c r="AO49" s="504"/>
      <c r="AP49" s="504" t="str">
        <f>IF(T49="","",T49)</f>
        <v/>
      </c>
      <c r="AQ49" s="504"/>
      <c r="AR49" s="504"/>
      <c r="AS49" s="1159">
        <v>21</v>
      </c>
    </row>
    <row customHeight="1" ht="1.05">
      <c r="A50" s="1367" t="s">
        <v>181</v>
      </c>
      <c r="B50" s="1367" t="s">
        <v>182</v>
      </c>
      <c r="C50" s="1367" t="s">
        <v>183</v>
      </c>
      <c r="D50" s="1367" t="s">
        <v>184</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181</v>
      </c>
      <c r="B51" s="1367" t="s">
        <v>182</v>
      </c>
      <c r="C51" s="1367" t="s">
        <v>183</v>
      </c>
      <c r="D51" s="1367" t="s">
        <v>184</v>
      </c>
      <c r="E51" s="2263"/>
      <c r="F51" s="2263"/>
      <c r="G51" s="2263"/>
      <c r="H51" s="2263"/>
      <c r="I51" s="2290"/>
      <c r="J51" s="2260"/>
      <c r="K51" s="1367"/>
      <c r="L51" s="1368"/>
      <c r="P51" s="2261"/>
      <c r="Q51" s="2261"/>
      <c r="R51" s="360"/>
      <c r="S51" s="1282"/>
      <c r="T51" s="292" t="s">
        <v>429</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181</v>
      </c>
      <c r="B52" s="1367" t="s">
        <v>182</v>
      </c>
      <c r="C52" s="1367" t="s">
        <v>183</v>
      </c>
      <c r="D52" s="1367" t="s">
        <v>184</v>
      </c>
      <c r="E52" s="2263"/>
      <c r="F52" s="2263"/>
      <c r="G52" s="2263"/>
      <c r="H52" s="2263"/>
      <c r="I52" s="2260"/>
      <c r="J52" s="1367"/>
      <c r="K52" s="1367"/>
      <c r="L52" s="1368"/>
      <c r="P52" s="2261"/>
      <c r="Q52" s="1335"/>
      <c r="R52" s="360"/>
      <c r="S52" s="1282"/>
      <c r="T52" s="291" t="s">
        <v>430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181</v>
      </c>
      <c r="B53" s="1367" t="s">
        <v>182</v>
      </c>
      <c r="C53" s="1367" t="s">
        <v>183</v>
      </c>
      <c r="D53" s="1367" t="s">
        <v>184</v>
      </c>
      <c r="E53" s="2263"/>
      <c r="F53" s="2263"/>
      <c r="G53" s="2263"/>
      <c r="H53" s="2262"/>
      <c r="I53" s="1367"/>
      <c r="J53" s="1367"/>
      <c r="K53" s="1367"/>
      <c r="L53" s="1368"/>
      <c r="M53" s="1369"/>
      <c r="N53" s="1369"/>
      <c r="O53" s="541"/>
      <c r="P53" s="364"/>
      <c r="Q53" s="379"/>
      <c r="R53" s="359"/>
      <c r="S53" s="1282"/>
      <c r="T53" s="369" t="s">
        <v>431</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181</v>
      </c>
      <c r="B54" s="1347" t="s">
        <v>182</v>
      </c>
      <c r="C54" s="1347" t="s">
        <v>183</v>
      </c>
      <c r="D54" s="1318"/>
      <c r="E54" s="2263"/>
      <c r="F54" s="2263"/>
      <c r="G54" s="2262"/>
      <c r="H54" s="1318"/>
      <c r="I54" s="1318"/>
      <c r="J54" s="1318"/>
      <c r="K54" s="1318"/>
      <c r="L54" s="1343"/>
      <c r="M54" s="1319"/>
      <c r="N54" s="1319"/>
      <c r="P54" s="1320"/>
      <c r="Q54" s="1321"/>
      <c r="R54" s="1320"/>
      <c r="S54" s="1326"/>
      <c r="T54" s="1329" t="s">
        <v>432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181</v>
      </c>
      <c r="B55" s="1347" t="s">
        <v>182</v>
      </c>
      <c r="C55" s="1318"/>
      <c r="D55" s="1318"/>
      <c r="E55" s="2263"/>
      <c r="F55" s="2262"/>
      <c r="G55" s="1318"/>
      <c r="H55" s="1318"/>
      <c r="I55" s="1318"/>
      <c r="J55" s="1318"/>
      <c r="K55" s="1318"/>
      <c r="L55" s="1343"/>
      <c r="M55" s="1325"/>
      <c r="N55" s="1325"/>
      <c r="P55" s="1320"/>
      <c r="Q55" s="1321"/>
      <c r="R55" s="1320"/>
      <c r="S55" s="1326"/>
      <c r="T55" s="1329" t="s">
        <v>433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181</v>
      </c>
      <c r="B56" s="1347"/>
      <c r="C56" s="1347"/>
      <c r="D56" s="1347"/>
      <c r="E56" s="2262"/>
      <c r="F56" s="1347"/>
      <c r="G56" s="1347"/>
      <c r="H56" s="1347"/>
      <c r="I56" s="1347"/>
      <c r="J56" s="1347"/>
      <c r="K56" s="1347"/>
      <c r="L56" s="1350"/>
      <c r="M56" s="1325"/>
      <c r="N56" s="1325"/>
      <c r="O56" s="522"/>
      <c r="P56" s="384"/>
      <c r="Q56" s="1348"/>
      <c r="R56" s="384"/>
      <c r="S56" s="1326"/>
      <c r="T56" s="1329" t="s">
        <v>434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466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5.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62</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82</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4537BD-B27C-0AAF-37D3-597834D910E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143</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414</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415</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416</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417</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418</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419</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420</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421</v>
      </c>
      <c r="M6" s="1639"/>
      <c r="P6" s="2261">
        <v>1</v>
      </c>
      <c r="Q6" s="1958"/>
      <c r="R6" s="360"/>
      <c r="S6" s="1962">
        <f>$I6</f>
      </c>
      <c r="T6" s="289" t="s">
        <v>422</v>
      </c>
      <c r="U6" s="304"/>
      <c r="V6" s="2249"/>
      <c r="W6" s="2250"/>
      <c r="X6" s="2250"/>
      <c r="Y6" s="2250"/>
      <c r="Z6" s="2250"/>
      <c r="AA6" s="2250"/>
      <c r="AB6" s="2250"/>
      <c r="AC6" s="2251"/>
      <c r="AD6" s="2249"/>
      <c r="AE6" s="2250"/>
      <c r="AF6" s="2250"/>
      <c r="AG6" s="2250"/>
      <c r="AH6" s="2250"/>
      <c r="AI6" s="2250"/>
      <c r="AJ6" s="2250"/>
      <c r="AK6" s="2250"/>
      <c r="AL6" s="2251"/>
      <c r="AM6" s="1262" t="s">
        <v>423</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424</v>
      </c>
      <c r="M7" s="1639"/>
      <c r="N7" s="1635"/>
      <c r="P7" s="2261"/>
      <c r="Q7" s="2261">
        <v>1</v>
      </c>
      <c r="R7" s="361"/>
      <c r="S7" s="1962">
        <f>$J7</f>
      </c>
      <c r="T7" s="290" t="s">
        <v>425</v>
      </c>
      <c r="U7" s="304"/>
      <c r="V7" s="2249"/>
      <c r="W7" s="2250"/>
      <c r="X7" s="2250"/>
      <c r="Y7" s="2250"/>
      <c r="Z7" s="2250"/>
      <c r="AA7" s="2250"/>
      <c r="AB7" s="2250"/>
      <c r="AC7" s="2251"/>
      <c r="AD7" s="2249"/>
      <c r="AE7" s="2250"/>
      <c r="AF7" s="2250"/>
      <c r="AG7" s="2250"/>
      <c r="AH7" s="2250"/>
      <c r="AI7" s="2250"/>
      <c r="AJ7" s="2250"/>
      <c r="AK7" s="2250"/>
      <c r="AL7" s="2251"/>
      <c r="AM7" s="1262" t="s">
        <v>426</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427</v>
      </c>
      <c r="M8" s="1639"/>
      <c r="N8" s="1635"/>
      <c r="O8" s="1635"/>
      <c r="P8" s="2261"/>
      <c r="Q8" s="2261"/>
      <c r="R8" s="361">
        <v>1</v>
      </c>
      <c r="S8" s="1962">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428</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429</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430</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431</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378"/>
      <c r="B13" s="1378"/>
      <c r="C13" s="1378"/>
      <c r="D13" s="1378"/>
      <c r="E13" s="2294"/>
      <c r="F13" s="2294"/>
      <c r="G13" s="2293"/>
      <c r="H13" s="1378"/>
      <c r="I13" s="1378"/>
      <c r="J13" s="1378"/>
      <c r="K13" s="1378"/>
      <c r="L13" s="1381"/>
      <c r="M13" s="1382"/>
      <c r="N13" s="1382"/>
      <c r="O13" s="355"/>
      <c r="P13" s="1320"/>
      <c r="Q13" s="1321"/>
      <c r="R13" s="1320"/>
      <c r="S13" s="1322"/>
      <c r="T13" s="1323" t="s">
        <v>432</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378"/>
      <c r="B14" s="1378"/>
      <c r="C14" s="1378"/>
      <c r="D14" s="1378"/>
      <c r="E14" s="2294"/>
      <c r="F14" s="2293"/>
      <c r="G14" s="1378"/>
      <c r="H14" s="1378"/>
      <c r="I14" s="1378"/>
      <c r="J14" s="1378"/>
      <c r="K14" s="1378"/>
      <c r="L14" s="1381"/>
      <c r="M14" s="1383"/>
      <c r="N14" s="1383"/>
      <c r="O14" s="355"/>
      <c r="P14" s="1320"/>
      <c r="Q14" s="1321"/>
      <c r="R14" s="1320"/>
      <c r="S14" s="1326"/>
      <c r="T14" s="1327" t="s">
        <v>433</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378"/>
      <c r="B15" s="1378"/>
      <c r="C15" s="1378"/>
      <c r="D15" s="1378"/>
      <c r="E15" s="2293"/>
      <c r="F15" s="1378"/>
      <c r="G15" s="1378"/>
      <c r="H15" s="1378"/>
      <c r="I15" s="1378"/>
      <c r="J15" s="1378"/>
      <c r="K15" s="1378"/>
      <c r="L15" s="1381"/>
      <c r="M15" s="1383"/>
      <c r="N15" s="1383"/>
      <c r="O15" s="355"/>
      <c r="P15" s="1320"/>
      <c r="Q15" s="1321"/>
      <c r="R15" s="1320"/>
      <c r="S15" s="1326"/>
      <c r="T15" s="1329" t="s">
        <v>434</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62</v>
      </c>
      <c r="AJ17" s="2271"/>
      <c r="AK17" s="2272" t="s">
        <v>62</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22.5" hidden="1">
      <c r="A20" s="1635"/>
      <c r="B20" s="1635"/>
      <c r="C20" s="1635"/>
      <c r="D20" s="1635"/>
      <c r="E20" s="1635"/>
      <c r="F20" s="1635"/>
      <c r="G20" s="1635"/>
      <c r="H20" s="1635"/>
      <c r="I20" s="1635"/>
      <c r="J20" s="1635"/>
      <c r="K20" s="1635"/>
      <c r="L20" s="1943"/>
      <c r="M20" s="1969"/>
      <c r="N20" s="1969"/>
      <c r="O20" s="1349" t="s">
        <v>435</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436</v>
      </c>
      <c r="P22" s="1366"/>
      <c r="Q22" s="1375"/>
      <c r="R22" s="1375"/>
      <c r="S22" s="733"/>
      <c r="T22" s="1370" t="s">
        <v>437</v>
      </c>
      <c r="AA22" s="599" t="s">
        <v>438</v>
      </c>
      <c r="AC22" s="599" t="s">
        <v>439</v>
      </c>
      <c r="AD22" s="1370" t="s">
        <v>437</v>
      </c>
      <c r="AI22" s="599" t="s">
        <v>440</v>
      </c>
      <c r="AK22" s="599" t="s">
        <v>439</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АО "Теплоэнерго"</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41</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441</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442</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42</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443</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444</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445</v>
      </c>
      <c r="AD36" s="1639"/>
      <c r="AE36" s="1639"/>
      <c r="AF36" s="1639"/>
      <c r="AG36" s="1639"/>
      <c r="AH36" s="1639"/>
      <c r="AI36" s="1639"/>
      <c r="AJ36" s="1639"/>
      <c r="AK36" s="1646" t="s">
        <v>445</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318</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319</v>
      </c>
      <c r="AS38" s="1635">
        <v>14</v>
      </c>
    </row>
    <row customHeight="1" ht="14.699999999999998">
      <c r="Q39" s="380"/>
      <c r="R39" s="380"/>
      <c r="S39" s="2277" t="s">
        <v>88</v>
      </c>
      <c r="T39" s="2213" t="s">
        <v>446</v>
      </c>
      <c r="U39" s="341"/>
      <c r="V39" s="2278" t="s">
        <v>447</v>
      </c>
      <c r="W39" s="2279"/>
      <c r="X39" s="2279"/>
      <c r="Y39" s="2279"/>
      <c r="Z39" s="2279"/>
      <c r="AA39" s="2279"/>
      <c r="AB39" s="2280"/>
      <c r="AC39" s="2281" t="s">
        <v>448</v>
      </c>
      <c r="AD39" s="2278" t="s">
        <v>447</v>
      </c>
      <c r="AE39" s="2279"/>
      <c r="AF39" s="2279"/>
      <c r="AG39" s="2279"/>
      <c r="AH39" s="2279"/>
      <c r="AI39" s="2279"/>
      <c r="AJ39" s="2280"/>
      <c r="AK39" s="2281" t="s">
        <v>449</v>
      </c>
      <c r="AL39" s="2284" t="s">
        <v>450</v>
      </c>
      <c r="AM39" s="2131"/>
      <c r="AS39" s="1635">
        <v>14</v>
      </c>
    </row>
    <row customHeight="1" ht="35.699999999999996">
      <c r="Q40" s="380"/>
      <c r="R40" s="380"/>
      <c r="S40" s="2277"/>
      <c r="T40" s="2213"/>
      <c r="U40" s="1035"/>
      <c r="V40" s="2264" t="s">
        <v>451</v>
      </c>
      <c r="W40" s="2287" t="s">
        <v>452</v>
      </c>
      <c r="X40" s="2266" t="s">
        <v>453</v>
      </c>
      <c r="Y40" s="2267"/>
      <c r="Z40" s="2266" t="s">
        <v>467</v>
      </c>
      <c r="AA40" s="2273"/>
      <c r="AB40" s="2267"/>
      <c r="AC40" s="2282"/>
      <c r="AD40" s="2264" t="s">
        <v>451</v>
      </c>
      <c r="AE40" s="2287" t="s">
        <v>452</v>
      </c>
      <c r="AF40" s="2266" t="s">
        <v>453</v>
      </c>
      <c r="AG40" s="2267"/>
      <c r="AH40" s="2266" t="s">
        <v>454</v>
      </c>
      <c r="AI40" s="2273"/>
      <c r="AJ40" s="2267"/>
      <c r="AK40" s="2282"/>
      <c r="AL40" s="2285"/>
      <c r="AM40" s="2131"/>
      <c r="AS40" s="1635">
        <v>34</v>
      </c>
    </row>
    <row customHeight="1" ht="35.699999999999996">
      <c r="A41" s="1270"/>
      <c r="B41" s="1270" t="s">
        <v>155</v>
      </c>
      <c r="C41" s="1270" t="s">
        <v>156</v>
      </c>
      <c r="D41" s="1270" t="s">
        <v>157</v>
      </c>
      <c r="E41" s="1314" t="s">
        <v>455</v>
      </c>
      <c r="F41" s="1314" t="s">
        <v>456</v>
      </c>
      <c r="G41" s="1314" t="s">
        <v>457</v>
      </c>
      <c r="H41" s="1314" t="s">
        <v>458</v>
      </c>
      <c r="I41" s="1314" t="s">
        <v>459</v>
      </c>
      <c r="J41" s="1314" t="s">
        <v>460</v>
      </c>
      <c r="K41" s="1314" t="s">
        <v>461</v>
      </c>
      <c r="L41" s="1314" t="s">
        <v>436</v>
      </c>
      <c r="Q41" s="380"/>
      <c r="R41" s="380"/>
      <c r="S41" s="2277"/>
      <c r="T41" s="2213"/>
      <c r="U41" s="306"/>
      <c r="V41" s="2265"/>
      <c r="W41" s="2288"/>
      <c r="X41" s="1942" t="s">
        <v>462</v>
      </c>
      <c r="Y41" s="1942" t="s">
        <v>463</v>
      </c>
      <c r="Z41" s="1942" t="s">
        <v>464</v>
      </c>
      <c r="AA41" s="2274" t="s">
        <v>465</v>
      </c>
      <c r="AB41" s="2275"/>
      <c r="AC41" s="2283"/>
      <c r="AD41" s="2265"/>
      <c r="AE41" s="2288"/>
      <c r="AF41" s="1942" t="s">
        <v>462</v>
      </c>
      <c r="AG41" s="1942" t="s">
        <v>463</v>
      </c>
      <c r="AH41" s="1942" t="s">
        <v>464</v>
      </c>
      <c r="AI41" s="2274" t="s">
        <v>465</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119</v>
      </c>
      <c r="T42" s="1259" t="s">
        <v>103</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230</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143</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230</v>
      </c>
      <c r="B44" s="1271" t="s">
        <v>231</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415</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416</v>
      </c>
      <c r="AO44" s="1628"/>
      <c r="AP44" s="1628" t="str">
        <f>IF(T44="","",T44)</f>
        <v>Территория действия тарифа</v>
      </c>
      <c r="AQ44" s="1628"/>
      <c r="AR44" s="1628"/>
      <c r="AS44" s="1635">
        <v>21</v>
      </c>
    </row>
    <row customHeight="1" ht="24">
      <c r="A45" s="1271" t="s">
        <v>230</v>
      </c>
      <c r="B45" s="1271" t="s">
        <v>231</v>
      </c>
      <c r="C45" s="1271" t="s">
        <v>232</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417</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418</v>
      </c>
      <c r="AO45" s="1628"/>
      <c r="AP45" s="1628" t="str">
        <f>IF(T45="","",T45)</f>
        <v>Наименование системы теплоснабжения </v>
      </c>
      <c r="AQ45" s="1628"/>
      <c r="AR45" s="1628"/>
      <c r="AS45" s="1635">
        <v>23</v>
      </c>
    </row>
    <row customHeight="1" ht="22.049999999999997">
      <c r="A46" s="1271" t="s">
        <v>230</v>
      </c>
      <c r="B46" s="1271" t="s">
        <v>231</v>
      </c>
      <c r="C46" s="1271" t="s">
        <v>232</v>
      </c>
      <c r="D46" s="1271" t="s">
        <v>233</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419</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420</v>
      </c>
      <c r="AO46" s="1628"/>
      <c r="AP46" s="1628" t="str">
        <f>IF(T46="","",T46)</f>
        <v>Источник тепловой энергии  </v>
      </c>
      <c r="AQ46" s="1628"/>
      <c r="AR46" s="1628"/>
      <c r="AS46" s="1635">
        <v>21</v>
      </c>
    </row>
    <row customHeight="1" ht="49.5">
      <c r="A47" s="1271" t="s">
        <v>230</v>
      </c>
      <c r="B47" s="1271" t="s">
        <v>231</v>
      </c>
      <c r="C47" s="1271" t="s">
        <v>232</v>
      </c>
      <c r="D47" s="1271" t="s">
        <v>233</v>
      </c>
      <c r="E47" s="2294"/>
      <c r="F47" s="2294"/>
      <c r="G47" s="2294"/>
      <c r="H47" s="2294"/>
      <c r="I47" s="2131" t="str">
        <f>S46&amp;".1"</f>
        <v>....1</v>
      </c>
      <c r="J47" s="1271"/>
      <c r="K47" s="1271"/>
      <c r="L47" s="1314" t="s">
        <v>421</v>
      </c>
      <c r="P47" s="2261">
        <v>1</v>
      </c>
      <c r="Q47" s="1958"/>
      <c r="R47" s="360"/>
      <c r="S47" s="1962" t="str">
        <f>$I47</f>
        <v>....1</v>
      </c>
      <c r="T47" s="289" t="s">
        <v>422</v>
      </c>
      <c r="U47" s="304"/>
      <c r="V47" s="2249"/>
      <c r="W47" s="2250"/>
      <c r="X47" s="2250"/>
      <c r="Y47" s="2250"/>
      <c r="Z47" s="2250"/>
      <c r="AA47" s="2250"/>
      <c r="AB47" s="2250"/>
      <c r="AC47" s="2251"/>
      <c r="AD47" s="2249"/>
      <c r="AE47" s="2250"/>
      <c r="AF47" s="2250"/>
      <c r="AG47" s="2250"/>
      <c r="AH47" s="2250"/>
      <c r="AI47" s="2250"/>
      <c r="AJ47" s="2250"/>
      <c r="AK47" s="2250"/>
      <c r="AL47" s="2251"/>
      <c r="AM47" s="1262" t="s">
        <v>423</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230</v>
      </c>
      <c r="B48" s="1271" t="s">
        <v>231</v>
      </c>
      <c r="C48" s="1271" t="s">
        <v>232</v>
      </c>
      <c r="D48" s="1271" t="s">
        <v>233</v>
      </c>
      <c r="E48" s="2294"/>
      <c r="F48" s="2294"/>
      <c r="G48" s="2294"/>
      <c r="H48" s="2294"/>
      <c r="I48" s="2105"/>
      <c r="J48" s="2131" t="str">
        <f>I47&amp;".1"</f>
        <v>....1.1</v>
      </c>
      <c r="K48" s="1271"/>
      <c r="L48" s="1314" t="s">
        <v>424</v>
      </c>
      <c r="P48" s="2261"/>
      <c r="Q48" s="2261">
        <v>1</v>
      </c>
      <c r="R48" s="361"/>
      <c r="S48" s="1962" t="str">
        <f>$J48</f>
        <v>....1.1</v>
      </c>
      <c r="T48" s="290" t="s">
        <v>425</v>
      </c>
      <c r="U48" s="304"/>
      <c r="V48" s="2249"/>
      <c r="W48" s="2250"/>
      <c r="X48" s="2250"/>
      <c r="Y48" s="2250"/>
      <c r="Z48" s="2250"/>
      <c r="AA48" s="2250"/>
      <c r="AB48" s="2250"/>
      <c r="AC48" s="2251"/>
      <c r="AD48" s="2249"/>
      <c r="AE48" s="2250"/>
      <c r="AF48" s="2250"/>
      <c r="AG48" s="2250"/>
      <c r="AH48" s="2250"/>
      <c r="AI48" s="2250"/>
      <c r="AJ48" s="2250"/>
      <c r="AK48" s="2250"/>
      <c r="AL48" s="2251"/>
      <c r="AM48" s="1262" t="s">
        <v>426</v>
      </c>
      <c r="AO48" s="1628"/>
      <c r="AP48" s="1628" t="str">
        <f>IF(T48="","",T48)</f>
        <v>Группа потребителей</v>
      </c>
      <c r="AQ48" s="1628"/>
      <c r="AR48" s="1628"/>
      <c r="AS48" s="1635">
        <v>21</v>
      </c>
    </row>
    <row customHeight="1" ht="22.049999999999997">
      <c r="A49" s="1271" t="s">
        <v>230</v>
      </c>
      <c r="B49" s="1271" t="s">
        <v>231</v>
      </c>
      <c r="C49" s="1271" t="s">
        <v>232</v>
      </c>
      <c r="D49" s="1271" t="s">
        <v>233</v>
      </c>
      <c r="E49" s="2294"/>
      <c r="F49" s="2294"/>
      <c r="G49" s="2294"/>
      <c r="H49" s="2294"/>
      <c r="I49" s="2105"/>
      <c r="J49" s="2105"/>
      <c r="K49" s="2131" t="str">
        <f>J48&amp;".1"</f>
        <v>....1.1.1</v>
      </c>
      <c r="L49" s="1314" t="s">
        <v>427</v>
      </c>
      <c r="P49" s="2261"/>
      <c r="Q49" s="2261"/>
      <c r="R49" s="361">
        <v>1</v>
      </c>
      <c r="S49" s="1962" t="str">
        <f>$K49</f>
        <v>....1.1.1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428</v>
      </c>
      <c r="AN49" s="1640">
        <f>STRCHECKDATE(V50:AL50)</f>
      </c>
      <c r="AO49" s="1628"/>
      <c r="AP49" s="1628" t="str">
        <f>IF(T49="","",T49)</f>
        <v/>
      </c>
      <c r="AQ49" s="1628"/>
      <c r="AR49" s="1628"/>
      <c r="AS49" s="1635">
        <v>21</v>
      </c>
    </row>
    <row customHeight="1" ht="1.05">
      <c r="A50" s="1271" t="s">
        <v>230</v>
      </c>
      <c r="B50" s="1271" t="s">
        <v>231</v>
      </c>
      <c r="C50" s="1271" t="s">
        <v>232</v>
      </c>
      <c r="D50" s="1271" t="s">
        <v>233</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230</v>
      </c>
      <c r="B51" s="1271" t="s">
        <v>231</v>
      </c>
      <c r="C51" s="1271" t="s">
        <v>232</v>
      </c>
      <c r="D51" s="1271" t="s">
        <v>233</v>
      </c>
      <c r="E51" s="2294"/>
      <c r="F51" s="2294"/>
      <c r="G51" s="2294"/>
      <c r="H51" s="2294"/>
      <c r="I51" s="2105"/>
      <c r="J51" s="2131"/>
      <c r="K51" s="1271"/>
      <c r="L51" s="1314"/>
      <c r="P51" s="2261"/>
      <c r="Q51" s="2261"/>
      <c r="R51" s="360"/>
      <c r="S51" s="1282"/>
      <c r="T51" s="292" t="s">
        <v>429</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230</v>
      </c>
      <c r="B52" s="1271" t="s">
        <v>231</v>
      </c>
      <c r="C52" s="1271" t="s">
        <v>232</v>
      </c>
      <c r="D52" s="1271" t="s">
        <v>233</v>
      </c>
      <c r="E52" s="2294"/>
      <c r="F52" s="2294"/>
      <c r="G52" s="2294"/>
      <c r="H52" s="2294"/>
      <c r="I52" s="2131"/>
      <c r="J52" s="1271"/>
      <c r="K52" s="1271"/>
      <c r="L52" s="1314"/>
      <c r="P52" s="2261"/>
      <c r="Q52" s="1958"/>
      <c r="R52" s="360"/>
      <c r="S52" s="1282"/>
      <c r="T52" s="291" t="s">
        <v>430</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230</v>
      </c>
      <c r="B53" s="1271" t="s">
        <v>231</v>
      </c>
      <c r="C53" s="1271" t="s">
        <v>232</v>
      </c>
      <c r="D53" s="1271" t="s">
        <v>233</v>
      </c>
      <c r="E53" s="2294"/>
      <c r="F53" s="2294"/>
      <c r="G53" s="2294"/>
      <c r="H53" s="2293"/>
      <c r="I53" s="1271"/>
      <c r="J53" s="1271"/>
      <c r="K53" s="1271"/>
      <c r="L53" s="1314"/>
      <c r="M53" s="1614"/>
      <c r="N53" s="1614"/>
      <c r="O53" s="1639"/>
      <c r="P53" s="364"/>
      <c r="Q53" s="379"/>
      <c r="R53" s="359"/>
      <c r="S53" s="1282"/>
      <c r="T53" s="369" t="s">
        <v>431</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4.2">
      <c r="A54" s="1379" t="s">
        <v>230</v>
      </c>
      <c r="B54" s="1379" t="s">
        <v>231</v>
      </c>
      <c r="C54" s="1379" t="s">
        <v>232</v>
      </c>
      <c r="D54" s="1378"/>
      <c r="E54" s="2294"/>
      <c r="F54" s="2294"/>
      <c r="G54" s="2293"/>
      <c r="H54" s="1378"/>
      <c r="I54" s="1378"/>
      <c r="J54" s="1378"/>
      <c r="K54" s="1378"/>
      <c r="L54" s="1381"/>
      <c r="M54" s="1382"/>
      <c r="N54" s="1382"/>
      <c r="O54" s="355"/>
      <c r="P54" s="1320"/>
      <c r="Q54" s="1321"/>
      <c r="R54" s="1320"/>
      <c r="S54" s="1326"/>
      <c r="T54" s="1329" t="s">
        <v>432</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4</v>
      </c>
    </row>
    <row s="1646" customFormat="1" customHeight="1" ht="4.2">
      <c r="A55" s="1379" t="s">
        <v>230</v>
      </c>
      <c r="B55" s="1379" t="s">
        <v>231</v>
      </c>
      <c r="C55" s="1378"/>
      <c r="D55" s="1378"/>
      <c r="E55" s="2294"/>
      <c r="F55" s="2293"/>
      <c r="G55" s="1378"/>
      <c r="H55" s="1378"/>
      <c r="I55" s="1378"/>
      <c r="J55" s="1378"/>
      <c r="K55" s="1378"/>
      <c r="L55" s="1381"/>
      <c r="M55" s="1383"/>
      <c r="N55" s="1383"/>
      <c r="O55" s="355"/>
      <c r="P55" s="1320"/>
      <c r="Q55" s="1321"/>
      <c r="R55" s="1320"/>
      <c r="S55" s="1326"/>
      <c r="T55" s="1329" t="s">
        <v>433</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4</v>
      </c>
    </row>
    <row s="1646" customFormat="1" customHeight="1" ht="4.2">
      <c r="A56" s="1379" t="s">
        <v>230</v>
      </c>
      <c r="B56" s="1379"/>
      <c r="C56" s="1379"/>
      <c r="D56" s="1379"/>
      <c r="E56" s="2293"/>
      <c r="F56" s="1379"/>
      <c r="G56" s="1379"/>
      <c r="H56" s="1379"/>
      <c r="I56" s="1379"/>
      <c r="J56" s="1379"/>
      <c r="K56" s="1379"/>
      <c r="L56" s="1385"/>
      <c r="M56" s="1383"/>
      <c r="N56" s="1383"/>
      <c r="O56" s="355"/>
      <c r="P56" s="384"/>
      <c r="Q56" s="1348"/>
      <c r="R56" s="384"/>
      <c r="S56" s="1326"/>
      <c r="T56" s="1329" t="s">
        <v>434</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4</v>
      </c>
    </row>
    <row s="1646" customFormat="1" customHeight="1" ht="4.2">
      <c r="A57" s="1378"/>
      <c r="B57" s="1378"/>
      <c r="C57" s="1378"/>
      <c r="D57" s="1378"/>
      <c r="E57" s="1379"/>
      <c r="F57" s="1378"/>
      <c r="G57" s="1378"/>
      <c r="H57" s="1378"/>
      <c r="I57" s="1378"/>
      <c r="J57" s="1378"/>
      <c r="K57" s="1378"/>
      <c r="L57" s="1381"/>
      <c r="M57" s="1383"/>
      <c r="N57" s="1383"/>
      <c r="O57" s="355"/>
      <c r="P57" s="1320"/>
      <c r="Q57" s="1321"/>
      <c r="R57" s="1320"/>
      <c r="S57" s="1326"/>
      <c r="T57" s="1329" t="s">
        <v>466</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4</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82</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E4EA68-E7AE-2CDF-BC19-9C1017423F0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143</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414</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415</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416</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417</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418</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419</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420</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421</v>
      </c>
      <c r="M6" s="1639"/>
      <c r="P6" s="2261">
        <v>1</v>
      </c>
      <c r="Q6" s="1958"/>
      <c r="R6" s="360"/>
      <c r="S6" s="1962">
        <f>$I6</f>
      </c>
      <c r="T6" s="289" t="s">
        <v>422</v>
      </c>
      <c r="U6" s="304"/>
      <c r="V6" s="2249"/>
      <c r="W6" s="2250"/>
      <c r="X6" s="2250"/>
      <c r="Y6" s="2250"/>
      <c r="Z6" s="2250"/>
      <c r="AA6" s="2250"/>
      <c r="AB6" s="2250"/>
      <c r="AC6" s="2251"/>
      <c r="AD6" s="2249"/>
      <c r="AE6" s="2250"/>
      <c r="AF6" s="2250"/>
      <c r="AG6" s="2250"/>
      <c r="AH6" s="2250"/>
      <c r="AI6" s="2250"/>
      <c r="AJ6" s="2250"/>
      <c r="AK6" s="2250"/>
      <c r="AL6" s="2251"/>
      <c r="AM6" s="1262" t="s">
        <v>423</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424</v>
      </c>
      <c r="M7" s="1639"/>
      <c r="N7" s="1635"/>
      <c r="P7" s="2261"/>
      <c r="Q7" s="2261">
        <v>1</v>
      </c>
      <c r="R7" s="361"/>
      <c r="S7" s="1962">
        <f>$J7</f>
      </c>
      <c r="T7" s="290" t="s">
        <v>425</v>
      </c>
      <c r="U7" s="304"/>
      <c r="V7" s="2249"/>
      <c r="W7" s="2250"/>
      <c r="X7" s="2250"/>
      <c r="Y7" s="2250"/>
      <c r="Z7" s="2250"/>
      <c r="AA7" s="2250"/>
      <c r="AB7" s="2250"/>
      <c r="AC7" s="2251"/>
      <c r="AD7" s="2249"/>
      <c r="AE7" s="2250"/>
      <c r="AF7" s="2250"/>
      <c r="AG7" s="2250"/>
      <c r="AH7" s="2250"/>
      <c r="AI7" s="2250"/>
      <c r="AJ7" s="2250"/>
      <c r="AK7" s="2250"/>
      <c r="AL7" s="2251"/>
      <c r="AM7" s="1262" t="s">
        <v>426</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427</v>
      </c>
      <c r="M8" s="1639"/>
      <c r="N8" s="1635"/>
      <c r="O8" s="1635"/>
      <c r="P8" s="2261"/>
      <c r="Q8" s="2261"/>
      <c r="R8" s="361">
        <v>1</v>
      </c>
      <c r="S8" s="1962">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428</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429</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430</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431</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978"/>
      <c r="B13" s="1978"/>
      <c r="C13" s="1978"/>
      <c r="D13" s="1978"/>
      <c r="E13" s="2294"/>
      <c r="F13" s="2294"/>
      <c r="G13" s="2293"/>
      <c r="H13" s="1978"/>
      <c r="I13" s="1978"/>
      <c r="J13" s="1978"/>
      <c r="K13" s="1978"/>
      <c r="L13" s="1384"/>
      <c r="M13" s="1614"/>
      <c r="N13" s="1614"/>
      <c r="O13" s="1639"/>
      <c r="P13" s="1320"/>
      <c r="Q13" s="1321"/>
      <c r="R13" s="1320"/>
      <c r="S13" s="1322"/>
      <c r="T13" s="1323" t="s">
        <v>432</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978"/>
      <c r="B14" s="1978"/>
      <c r="C14" s="1978"/>
      <c r="D14" s="1978"/>
      <c r="E14" s="2294"/>
      <c r="F14" s="2293"/>
      <c r="G14" s="1978"/>
      <c r="H14" s="1978"/>
      <c r="I14" s="1978"/>
      <c r="J14" s="1978"/>
      <c r="K14" s="1978"/>
      <c r="L14" s="1384"/>
      <c r="M14" s="1979"/>
      <c r="N14" s="1979"/>
      <c r="O14" s="1639"/>
      <c r="P14" s="1320"/>
      <c r="Q14" s="1321"/>
      <c r="R14" s="1320"/>
      <c r="S14" s="1326"/>
      <c r="T14" s="1327" t="s">
        <v>433</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978"/>
      <c r="B15" s="1978"/>
      <c r="C15" s="1978"/>
      <c r="D15" s="1978"/>
      <c r="E15" s="2293"/>
      <c r="F15" s="1978"/>
      <c r="G15" s="1978"/>
      <c r="H15" s="1978"/>
      <c r="I15" s="1978"/>
      <c r="J15" s="1978"/>
      <c r="K15" s="1978"/>
      <c r="L15" s="1384"/>
      <c r="M15" s="1979"/>
      <c r="N15" s="1979"/>
      <c r="O15" s="1639"/>
      <c r="P15" s="1320"/>
      <c r="Q15" s="1321"/>
      <c r="R15" s="1320"/>
      <c r="S15" s="1326"/>
      <c r="T15" s="1329" t="s">
        <v>434</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62</v>
      </c>
      <c r="AJ17" s="2271"/>
      <c r="AK17" s="2272" t="s">
        <v>62</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22.5" hidden="1">
      <c r="A20" s="1635"/>
      <c r="B20" s="1635"/>
      <c r="C20" s="1635"/>
      <c r="D20" s="1635"/>
      <c r="E20" s="1635"/>
      <c r="F20" s="1635"/>
      <c r="G20" s="1635"/>
      <c r="H20" s="1635"/>
      <c r="I20" s="1635"/>
      <c r="J20" s="1635"/>
      <c r="K20" s="1635"/>
      <c r="L20" s="1943"/>
      <c r="M20" s="1969"/>
      <c r="N20" s="1969"/>
      <c r="O20" s="1349" t="s">
        <v>435</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436</v>
      </c>
      <c r="P22" s="1366"/>
      <c r="Q22" s="1375"/>
      <c r="R22" s="1375"/>
      <c r="S22" s="733"/>
      <c r="T22" s="1370" t="s">
        <v>437</v>
      </c>
      <c r="AA22" s="599" t="s">
        <v>438</v>
      </c>
      <c r="AC22" s="599" t="s">
        <v>439</v>
      </c>
      <c r="AD22" s="1370" t="s">
        <v>437</v>
      </c>
      <c r="AI22" s="599" t="s">
        <v>440</v>
      </c>
      <c r="AK22" s="599" t="s">
        <v>439</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АО "Теплоэнерго"</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41</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441</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442</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42</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443</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444</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445</v>
      </c>
      <c r="AD36" s="1639"/>
      <c r="AE36" s="1639"/>
      <c r="AF36" s="1639"/>
      <c r="AG36" s="1639"/>
      <c r="AH36" s="1639"/>
      <c r="AI36" s="1639"/>
      <c r="AJ36" s="1639"/>
      <c r="AK36" s="1646" t="s">
        <v>445</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318</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319</v>
      </c>
      <c r="AS38" s="1635">
        <v>14</v>
      </c>
    </row>
    <row customHeight="1" ht="14.699999999999998">
      <c r="Q39" s="380"/>
      <c r="R39" s="380"/>
      <c r="S39" s="2277" t="s">
        <v>88</v>
      </c>
      <c r="T39" s="2213" t="s">
        <v>446</v>
      </c>
      <c r="U39" s="341"/>
      <c r="V39" s="2278" t="s">
        <v>447</v>
      </c>
      <c r="W39" s="2279"/>
      <c r="X39" s="2279"/>
      <c r="Y39" s="2279"/>
      <c r="Z39" s="2279"/>
      <c r="AA39" s="2279"/>
      <c r="AB39" s="2280"/>
      <c r="AC39" s="2281" t="s">
        <v>448</v>
      </c>
      <c r="AD39" s="2278" t="s">
        <v>447</v>
      </c>
      <c r="AE39" s="2279"/>
      <c r="AF39" s="2279"/>
      <c r="AG39" s="2279"/>
      <c r="AH39" s="2279"/>
      <c r="AI39" s="2279"/>
      <c r="AJ39" s="2280"/>
      <c r="AK39" s="2281" t="s">
        <v>449</v>
      </c>
      <c r="AL39" s="2284" t="s">
        <v>450</v>
      </c>
      <c r="AM39" s="2131"/>
      <c r="AS39" s="1635">
        <v>14</v>
      </c>
    </row>
    <row customHeight="1" ht="35.699999999999996">
      <c r="Q40" s="380"/>
      <c r="R40" s="380"/>
      <c r="S40" s="2277"/>
      <c r="T40" s="2213"/>
      <c r="U40" s="1035"/>
      <c r="V40" s="2264" t="s">
        <v>451</v>
      </c>
      <c r="W40" s="2287" t="s">
        <v>452</v>
      </c>
      <c r="X40" s="2266" t="s">
        <v>453</v>
      </c>
      <c r="Y40" s="2267"/>
      <c r="Z40" s="2266" t="s">
        <v>467</v>
      </c>
      <c r="AA40" s="2273"/>
      <c r="AB40" s="2267"/>
      <c r="AC40" s="2282"/>
      <c r="AD40" s="2264" t="s">
        <v>451</v>
      </c>
      <c r="AE40" s="2287" t="s">
        <v>452</v>
      </c>
      <c r="AF40" s="2266" t="s">
        <v>453</v>
      </c>
      <c r="AG40" s="2267"/>
      <c r="AH40" s="2266" t="s">
        <v>454</v>
      </c>
      <c r="AI40" s="2273"/>
      <c r="AJ40" s="2267"/>
      <c r="AK40" s="2282"/>
      <c r="AL40" s="2285"/>
      <c r="AM40" s="2131"/>
      <c r="AS40" s="1635">
        <v>34</v>
      </c>
    </row>
    <row customHeight="1" ht="35.699999999999996">
      <c r="A41" s="1270"/>
      <c r="B41" s="1270" t="s">
        <v>155</v>
      </c>
      <c r="C41" s="1270" t="s">
        <v>156</v>
      </c>
      <c r="D41" s="1270" t="s">
        <v>157</v>
      </c>
      <c r="E41" s="1314" t="s">
        <v>455</v>
      </c>
      <c r="F41" s="1314" t="s">
        <v>456</v>
      </c>
      <c r="G41" s="1314" t="s">
        <v>457</v>
      </c>
      <c r="H41" s="1314" t="s">
        <v>458</v>
      </c>
      <c r="I41" s="1314" t="s">
        <v>459</v>
      </c>
      <c r="J41" s="1314" t="s">
        <v>460</v>
      </c>
      <c r="K41" s="1314" t="s">
        <v>461</v>
      </c>
      <c r="L41" s="1314" t="s">
        <v>436</v>
      </c>
      <c r="Q41" s="380"/>
      <c r="R41" s="380"/>
      <c r="S41" s="2277"/>
      <c r="T41" s="2213"/>
      <c r="U41" s="306"/>
      <c r="V41" s="2265"/>
      <c r="W41" s="2288"/>
      <c r="X41" s="1942" t="s">
        <v>462</v>
      </c>
      <c r="Y41" s="1942" t="s">
        <v>463</v>
      </c>
      <c r="Z41" s="1942" t="s">
        <v>464</v>
      </c>
      <c r="AA41" s="2274" t="s">
        <v>465</v>
      </c>
      <c r="AB41" s="2275"/>
      <c r="AC41" s="2283"/>
      <c r="AD41" s="2265"/>
      <c r="AE41" s="2288"/>
      <c r="AF41" s="1942" t="s">
        <v>462</v>
      </c>
      <c r="AG41" s="1942" t="s">
        <v>463</v>
      </c>
      <c r="AH41" s="1942" t="s">
        <v>464</v>
      </c>
      <c r="AI41" s="2274" t="s">
        <v>465</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119</v>
      </c>
      <c r="T42" s="1259" t="s">
        <v>103</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230</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143</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230</v>
      </c>
      <c r="B44" s="1271" t="s">
        <v>231</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415</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416</v>
      </c>
      <c r="AO44" s="1628"/>
      <c r="AP44" s="1628" t="str">
        <f>IF(T44="","",T44)</f>
        <v>Территория действия тарифа</v>
      </c>
      <c r="AQ44" s="1628"/>
      <c r="AR44" s="1628"/>
      <c r="AS44" s="1635">
        <v>21</v>
      </c>
    </row>
    <row customHeight="1" ht="24">
      <c r="A45" s="1271" t="s">
        <v>230</v>
      </c>
      <c r="B45" s="1271" t="s">
        <v>231</v>
      </c>
      <c r="C45" s="1271" t="s">
        <v>232</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417</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418</v>
      </c>
      <c r="AO45" s="1628"/>
      <c r="AP45" s="1628" t="str">
        <f>IF(T45="","",T45)</f>
        <v>Наименование системы теплоснабжения </v>
      </c>
      <c r="AQ45" s="1628"/>
      <c r="AR45" s="1628"/>
      <c r="AS45" s="1635">
        <v>23</v>
      </c>
    </row>
    <row customHeight="1" ht="22.049999999999997">
      <c r="A46" s="1271" t="s">
        <v>230</v>
      </c>
      <c r="B46" s="1271" t="s">
        <v>231</v>
      </c>
      <c r="C46" s="1271" t="s">
        <v>232</v>
      </c>
      <c r="D46" s="1271" t="s">
        <v>233</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419</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420</v>
      </c>
      <c r="AO46" s="1628"/>
      <c r="AP46" s="1628" t="str">
        <f>IF(T46="","",T46)</f>
        <v>Источник тепловой энергии  </v>
      </c>
      <c r="AQ46" s="1628"/>
      <c r="AR46" s="1628"/>
      <c r="AS46" s="1635">
        <v>21</v>
      </c>
    </row>
    <row customHeight="1" ht="49.5">
      <c r="A47" s="1271" t="s">
        <v>230</v>
      </c>
      <c r="B47" s="1271" t="s">
        <v>231</v>
      </c>
      <c r="C47" s="1271" t="s">
        <v>232</v>
      </c>
      <c r="D47" s="1271" t="s">
        <v>233</v>
      </c>
      <c r="E47" s="2294"/>
      <c r="F47" s="2294"/>
      <c r="G47" s="2294"/>
      <c r="H47" s="2294"/>
      <c r="I47" s="2131" t="str">
        <f>S46&amp;".1"</f>
        <v>....1</v>
      </c>
      <c r="J47" s="1271"/>
      <c r="K47" s="1271"/>
      <c r="L47" s="1314" t="s">
        <v>421</v>
      </c>
      <c r="P47" s="2261">
        <v>1</v>
      </c>
      <c r="Q47" s="1958"/>
      <c r="R47" s="360"/>
      <c r="S47" s="1962" t="str">
        <f>$I47</f>
        <v>....1</v>
      </c>
      <c r="T47" s="289" t="s">
        <v>422</v>
      </c>
      <c r="U47" s="304"/>
      <c r="V47" s="2249"/>
      <c r="W47" s="2250"/>
      <c r="X47" s="2250"/>
      <c r="Y47" s="2250"/>
      <c r="Z47" s="2250"/>
      <c r="AA47" s="2250"/>
      <c r="AB47" s="2250"/>
      <c r="AC47" s="2251"/>
      <c r="AD47" s="2249"/>
      <c r="AE47" s="2250"/>
      <c r="AF47" s="2250"/>
      <c r="AG47" s="2250"/>
      <c r="AH47" s="2250"/>
      <c r="AI47" s="2250"/>
      <c r="AJ47" s="2250"/>
      <c r="AK47" s="2250"/>
      <c r="AL47" s="2251"/>
      <c r="AM47" s="1262" t="s">
        <v>423</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230</v>
      </c>
      <c r="B48" s="1271" t="s">
        <v>231</v>
      </c>
      <c r="C48" s="1271" t="s">
        <v>232</v>
      </c>
      <c r="D48" s="1271" t="s">
        <v>233</v>
      </c>
      <c r="E48" s="2294"/>
      <c r="F48" s="2294"/>
      <c r="G48" s="2294"/>
      <c r="H48" s="2294"/>
      <c r="I48" s="2105"/>
      <c r="J48" s="2131" t="str">
        <f>I47&amp;".1"</f>
        <v>....1.1</v>
      </c>
      <c r="K48" s="1271"/>
      <c r="L48" s="1314" t="s">
        <v>424</v>
      </c>
      <c r="P48" s="2261"/>
      <c r="Q48" s="2261">
        <v>1</v>
      </c>
      <c r="R48" s="361"/>
      <c r="S48" s="1962" t="str">
        <f>$J48</f>
        <v>....1.1</v>
      </c>
      <c r="T48" s="290" t="s">
        <v>425</v>
      </c>
      <c r="U48" s="304"/>
      <c r="V48" s="2249"/>
      <c r="W48" s="2250"/>
      <c r="X48" s="2250"/>
      <c r="Y48" s="2250"/>
      <c r="Z48" s="2250"/>
      <c r="AA48" s="2250"/>
      <c r="AB48" s="2250"/>
      <c r="AC48" s="2251"/>
      <c r="AD48" s="2249"/>
      <c r="AE48" s="2250"/>
      <c r="AF48" s="2250"/>
      <c r="AG48" s="2250"/>
      <c r="AH48" s="2250"/>
      <c r="AI48" s="2250"/>
      <c r="AJ48" s="2250"/>
      <c r="AK48" s="2250"/>
      <c r="AL48" s="2251"/>
      <c r="AM48" s="1262" t="s">
        <v>426</v>
      </c>
      <c r="AO48" s="1628"/>
      <c r="AP48" s="1628" t="str">
        <f>IF(T48="","",T48)</f>
        <v>Группа потребителей</v>
      </c>
      <c r="AQ48" s="1628"/>
      <c r="AR48" s="1628"/>
      <c r="AS48" s="1635">
        <v>21</v>
      </c>
    </row>
    <row customHeight="1" ht="22.049999999999997">
      <c r="A49" s="1271" t="s">
        <v>230</v>
      </c>
      <c r="B49" s="1271" t="s">
        <v>231</v>
      </c>
      <c r="C49" s="1271" t="s">
        <v>232</v>
      </c>
      <c r="D49" s="1271" t="s">
        <v>233</v>
      </c>
      <c r="E49" s="2294"/>
      <c r="F49" s="2294"/>
      <c r="G49" s="2294"/>
      <c r="H49" s="2294"/>
      <c r="I49" s="2105"/>
      <c r="J49" s="2105"/>
      <c r="K49" s="2131" t="str">
        <f>J48&amp;".1"</f>
        <v>....1.1.1</v>
      </c>
      <c r="L49" s="1314" t="s">
        <v>427</v>
      </c>
      <c r="P49" s="2261"/>
      <c r="Q49" s="2261"/>
      <c r="R49" s="361">
        <v>1</v>
      </c>
      <c r="S49" s="1962" t="str">
        <f>$K49</f>
        <v>....1.1.1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428</v>
      </c>
      <c r="AN49" s="1640">
        <f>STRCHECKDATE(V50:AL50)</f>
      </c>
      <c r="AO49" s="1628"/>
      <c r="AP49" s="1628" t="str">
        <f>IF(T49="","",T49)</f>
        <v/>
      </c>
      <c r="AQ49" s="1628"/>
      <c r="AR49" s="1628"/>
      <c r="AS49" s="1635">
        <v>21</v>
      </c>
    </row>
    <row customHeight="1" ht="1.05">
      <c r="A50" s="1271" t="s">
        <v>230</v>
      </c>
      <c r="B50" s="1271" t="s">
        <v>231</v>
      </c>
      <c r="C50" s="1271" t="s">
        <v>232</v>
      </c>
      <c r="D50" s="1271" t="s">
        <v>233</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230</v>
      </c>
      <c r="B51" s="1271" t="s">
        <v>231</v>
      </c>
      <c r="C51" s="1271" t="s">
        <v>232</v>
      </c>
      <c r="D51" s="1271" t="s">
        <v>233</v>
      </c>
      <c r="E51" s="2294"/>
      <c r="F51" s="2294"/>
      <c r="G51" s="2294"/>
      <c r="H51" s="2294"/>
      <c r="I51" s="2105"/>
      <c r="J51" s="2131"/>
      <c r="K51" s="1271"/>
      <c r="L51" s="1314"/>
      <c r="P51" s="2261"/>
      <c r="Q51" s="2261"/>
      <c r="R51" s="360"/>
      <c r="S51" s="1282"/>
      <c r="T51" s="292" t="s">
        <v>429</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230</v>
      </c>
      <c r="B52" s="1271" t="s">
        <v>231</v>
      </c>
      <c r="C52" s="1271" t="s">
        <v>232</v>
      </c>
      <c r="D52" s="1271" t="s">
        <v>233</v>
      </c>
      <c r="E52" s="2294"/>
      <c r="F52" s="2294"/>
      <c r="G52" s="2294"/>
      <c r="H52" s="2294"/>
      <c r="I52" s="2131"/>
      <c r="J52" s="1271"/>
      <c r="K52" s="1271"/>
      <c r="L52" s="1314"/>
      <c r="P52" s="2261"/>
      <c r="Q52" s="1958"/>
      <c r="R52" s="360"/>
      <c r="S52" s="1282"/>
      <c r="T52" s="291" t="s">
        <v>430</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230</v>
      </c>
      <c r="B53" s="1271" t="s">
        <v>231</v>
      </c>
      <c r="C53" s="1271" t="s">
        <v>232</v>
      </c>
      <c r="D53" s="1271" t="s">
        <v>233</v>
      </c>
      <c r="E53" s="2294"/>
      <c r="F53" s="2294"/>
      <c r="G53" s="2294"/>
      <c r="H53" s="2293"/>
      <c r="I53" s="1271"/>
      <c r="J53" s="1271"/>
      <c r="K53" s="1271"/>
      <c r="L53" s="1314"/>
      <c r="M53" s="1614"/>
      <c r="N53" s="1614"/>
      <c r="O53" s="1639"/>
      <c r="P53" s="364"/>
      <c r="Q53" s="379"/>
      <c r="R53" s="359"/>
      <c r="S53" s="1282"/>
      <c r="T53" s="369" t="s">
        <v>431</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1.05">
      <c r="A54" s="1271" t="s">
        <v>230</v>
      </c>
      <c r="B54" s="1271" t="s">
        <v>231</v>
      </c>
      <c r="C54" s="1271" t="s">
        <v>232</v>
      </c>
      <c r="D54" s="1978"/>
      <c r="E54" s="2294"/>
      <c r="F54" s="2294"/>
      <c r="G54" s="2293"/>
      <c r="H54" s="1978"/>
      <c r="I54" s="1978"/>
      <c r="J54" s="1978"/>
      <c r="K54" s="1978"/>
      <c r="L54" s="1384"/>
      <c r="M54" s="1614"/>
      <c r="N54" s="1614"/>
      <c r="O54" s="1639"/>
      <c r="P54" s="1320"/>
      <c r="Q54" s="1321"/>
      <c r="R54" s="1320"/>
      <c r="S54" s="1326"/>
      <c r="T54" s="1329" t="s">
        <v>432</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1</v>
      </c>
    </row>
    <row s="1646" customFormat="1" customHeight="1" ht="1.05">
      <c r="A55" s="1271" t="s">
        <v>230</v>
      </c>
      <c r="B55" s="1271" t="s">
        <v>231</v>
      </c>
      <c r="C55" s="1978"/>
      <c r="D55" s="1978"/>
      <c r="E55" s="2294"/>
      <c r="F55" s="2293"/>
      <c r="G55" s="1978"/>
      <c r="H55" s="1978"/>
      <c r="I55" s="1978"/>
      <c r="J55" s="1978"/>
      <c r="K55" s="1978"/>
      <c r="L55" s="1384"/>
      <c r="M55" s="1979"/>
      <c r="N55" s="1979"/>
      <c r="O55" s="1639"/>
      <c r="P55" s="1320"/>
      <c r="Q55" s="1321"/>
      <c r="R55" s="1320"/>
      <c r="S55" s="1326"/>
      <c r="T55" s="1329" t="s">
        <v>433</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1</v>
      </c>
    </row>
    <row s="1646" customFormat="1" customHeight="1" ht="1.05">
      <c r="A56" s="1271" t="s">
        <v>230</v>
      </c>
      <c r="B56" s="1271"/>
      <c r="C56" s="1271"/>
      <c r="D56" s="1271"/>
      <c r="E56" s="2293"/>
      <c r="F56" s="1271"/>
      <c r="G56" s="1271"/>
      <c r="H56" s="1271"/>
      <c r="I56" s="1271"/>
      <c r="J56" s="1271"/>
      <c r="K56" s="1271"/>
      <c r="L56" s="1314"/>
      <c r="M56" s="1979"/>
      <c r="N56" s="1979"/>
      <c r="O56" s="1639"/>
      <c r="P56" s="384"/>
      <c r="Q56" s="1348"/>
      <c r="R56" s="384"/>
      <c r="S56" s="1326"/>
      <c r="T56" s="1329" t="s">
        <v>434</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1</v>
      </c>
    </row>
    <row s="1646" customFormat="1" customHeight="1" ht="1.05">
      <c r="A57" s="1978"/>
      <c r="B57" s="1978"/>
      <c r="C57" s="1978"/>
      <c r="D57" s="1978"/>
      <c r="E57" s="1271"/>
      <c r="F57" s="1978"/>
      <c r="G57" s="1978"/>
      <c r="H57" s="1978"/>
      <c r="I57" s="1978"/>
      <c r="J57" s="1978"/>
      <c r="K57" s="1978"/>
      <c r="L57" s="1384"/>
      <c r="M57" s="1979"/>
      <c r="N57" s="1979"/>
      <c r="O57" s="1639"/>
      <c r="P57" s="1320"/>
      <c r="Q57" s="1321"/>
      <c r="R57" s="1320"/>
      <c r="S57" s="1326"/>
      <c r="T57" s="1329" t="s">
        <v>466</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1</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82</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93AA7C-BCA3-EFB3-D877-9FAAB815B38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7109375" hidden="1" customWidth="1"/>
    <col min="22" max="22" style="1639" width="1.7109375" hidden="1" customWidth="1"/>
    <col min="23" max="23" style="1639" width="24.7109375" hidden="1" customWidth="1"/>
    <col min="24" max="25" style="1639" width="0.14062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0.140625" customWidth="1"/>
    <col min="31" max="31" style="1639" width="24.00390625" customWidth="1"/>
    <col min="32" max="33" style="1639" width="0.14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143</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414</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415</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416</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417</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418</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419</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420</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421</v>
      </c>
      <c r="M6" s="541"/>
      <c r="P6" s="2261">
        <v>1</v>
      </c>
      <c r="Q6" s="1335"/>
      <c r="R6" s="360"/>
      <c r="S6" s="1340">
        <f>$I6</f>
      </c>
      <c r="T6" s="289" t="s">
        <v>422</v>
      </c>
      <c r="U6" s="304"/>
      <c r="V6" s="2249"/>
      <c r="W6" s="2250"/>
      <c r="X6" s="2250"/>
      <c r="Y6" s="2250"/>
      <c r="Z6" s="2250"/>
      <c r="AA6" s="2250"/>
      <c r="AB6" s="2250"/>
      <c r="AC6" s="2251"/>
      <c r="AD6" s="2249"/>
      <c r="AE6" s="2250"/>
      <c r="AF6" s="2250"/>
      <c r="AG6" s="2250"/>
      <c r="AH6" s="2250"/>
      <c r="AI6" s="2250"/>
      <c r="AJ6" s="2250"/>
      <c r="AK6" s="2250"/>
      <c r="AL6" s="2251"/>
      <c r="AM6" s="1262" t="s">
        <v>423</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424</v>
      </c>
      <c r="M7" s="541"/>
      <c r="N7" s="1370"/>
      <c r="P7" s="2261"/>
      <c r="Q7" s="2261">
        <v>1</v>
      </c>
      <c r="R7" s="361"/>
      <c r="S7" s="1340">
        <f>$J7</f>
      </c>
      <c r="T7" s="290" t="s">
        <v>425</v>
      </c>
      <c r="U7" s="304"/>
      <c r="V7" s="2249"/>
      <c r="W7" s="2250"/>
      <c r="X7" s="2250"/>
      <c r="Y7" s="2250"/>
      <c r="Z7" s="2250"/>
      <c r="AA7" s="2250"/>
      <c r="AB7" s="2250"/>
      <c r="AC7" s="2251"/>
      <c r="AD7" s="2249"/>
      <c r="AE7" s="2250"/>
      <c r="AF7" s="2250"/>
      <c r="AG7" s="2250"/>
      <c r="AH7" s="2250"/>
      <c r="AI7" s="2250"/>
      <c r="AJ7" s="2250"/>
      <c r="AK7" s="2250"/>
      <c r="AL7" s="2251"/>
      <c r="AM7" s="1262" t="s">
        <v>426</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427</v>
      </c>
      <c r="M8" s="541"/>
      <c r="N8" s="1370"/>
      <c r="O8" s="1370"/>
      <c r="P8" s="2261"/>
      <c r="Q8" s="2261"/>
      <c r="R8" s="361">
        <v>1</v>
      </c>
      <c r="S8" s="1340">
        <f>$K8</f>
      </c>
      <c r="T8" s="1351"/>
      <c r="U8" s="304"/>
      <c r="V8" s="329"/>
      <c r="W8" s="755"/>
      <c r="X8" s="329"/>
      <c r="Y8" s="388"/>
      <c r="Z8" s="2269"/>
      <c r="AA8" s="2111" t="s">
        <v>62</v>
      </c>
      <c r="AB8" s="2269"/>
      <c r="AC8" s="2111" t="s">
        <v>62</v>
      </c>
      <c r="AD8" s="329"/>
      <c r="AE8" s="755"/>
      <c r="AF8" s="329"/>
      <c r="AG8" s="388"/>
      <c r="AH8" s="2269"/>
      <c r="AI8" s="2111" t="s">
        <v>62</v>
      </c>
      <c r="AJ8" s="2269"/>
      <c r="AK8" s="2111" t="s">
        <v>62</v>
      </c>
      <c r="AL8" s="329"/>
      <c r="AM8" s="2257" t="s">
        <v>428</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429</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430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431</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433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434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33.75" hidden="1">
      <c r="L22" s="1333"/>
      <c r="M22" s="1366"/>
      <c r="N22" s="1366"/>
      <c r="O22" s="1368" t="s">
        <v>436</v>
      </c>
      <c r="P22" s="1366"/>
      <c r="Q22" s="1375"/>
      <c r="R22" s="1375"/>
      <c r="S22" s="733"/>
      <c r="T22" s="1164" t="s">
        <v>437</v>
      </c>
      <c r="AA22" s="190" t="s">
        <v>438</v>
      </c>
      <c r="AC22" s="190" t="s">
        <v>439</v>
      </c>
      <c r="AD22" s="1164" t="s">
        <v>437</v>
      </c>
      <c r="AI22" s="190" t="s">
        <v>440</v>
      </c>
      <c r="AK22" s="190" t="s">
        <v>439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29.25">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28</v>
      </c>
    </row>
    <row customHeight="1" ht="14.699999999999998">
      <c r="Q27" s="380"/>
      <c r="R27" s="380"/>
      <c r="S27" s="2253" t="str">
        <f>IF(org=0,"Не определено",org)</f>
        <v>АО "Теплоэнерго"</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41</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441</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442</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42</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443</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444</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445</v>
      </c>
      <c r="AD36" s="330"/>
      <c r="AE36" s="330"/>
      <c r="AF36" s="330"/>
      <c r="AG36" s="330"/>
      <c r="AH36" s="330"/>
      <c r="AI36" s="330"/>
      <c r="AJ36" s="330"/>
      <c r="AK36" s="282" t="s">
        <v>445</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318</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319</v>
      </c>
      <c r="AS38" s="1159">
        <v>14</v>
      </c>
    </row>
    <row customHeight="1" ht="14.699999999999998">
      <c r="Q39" s="380"/>
      <c r="R39" s="380"/>
      <c r="S39" s="2277" t="s">
        <v>88</v>
      </c>
      <c r="T39" s="2213" t="s">
        <v>446</v>
      </c>
      <c r="U39" s="305"/>
      <c r="V39" s="2278" t="s">
        <v>447</v>
      </c>
      <c r="W39" s="2279"/>
      <c r="X39" s="2295"/>
      <c r="Y39" s="2295"/>
      <c r="Z39" s="2279"/>
      <c r="AA39" s="2279"/>
      <c r="AB39" s="2280"/>
      <c r="AC39" s="2281" t="s">
        <v>448</v>
      </c>
      <c r="AD39" s="2278" t="s">
        <v>447</v>
      </c>
      <c r="AE39" s="2279"/>
      <c r="AF39" s="2295"/>
      <c r="AG39" s="2295"/>
      <c r="AH39" s="2279"/>
      <c r="AI39" s="2279"/>
      <c r="AJ39" s="2280"/>
      <c r="AK39" s="2281" t="s">
        <v>449</v>
      </c>
      <c r="AL39" s="2284" t="s">
        <v>450</v>
      </c>
      <c r="AM39" s="2131"/>
      <c r="AS39" s="1159">
        <v>14</v>
      </c>
    </row>
    <row customHeight="1" ht="24">
      <c r="Q40" s="380"/>
      <c r="R40" s="380"/>
      <c r="S40" s="2277"/>
      <c r="T40" s="2213"/>
      <c r="U40" s="1035"/>
      <c r="V40" s="2296" t="s">
        <v>451</v>
      </c>
      <c r="W40" s="2298" t="s">
        <v>452</v>
      </c>
      <c r="X40" s="1380" t="s">
        <v>453</v>
      </c>
      <c r="Y40" s="1380"/>
      <c r="Z40" s="2273" t="s">
        <v>454</v>
      </c>
      <c r="AA40" s="2273"/>
      <c r="AB40" s="2267"/>
      <c r="AC40" s="2282"/>
      <c r="AD40" s="2296" t="s">
        <v>451</v>
      </c>
      <c r="AE40" s="2298" t="s">
        <v>452</v>
      </c>
      <c r="AF40" s="1380" t="s">
        <v>453</v>
      </c>
      <c r="AG40" s="1380"/>
      <c r="AH40" s="2273" t="s">
        <v>454</v>
      </c>
      <c r="AI40" s="2273"/>
      <c r="AJ40" s="2267"/>
      <c r="AK40" s="2282"/>
      <c r="AL40" s="2285"/>
      <c r="AM40" s="2131"/>
      <c r="AS40" s="1159">
        <v>23</v>
      </c>
    </row>
    <row s="1270" customFormat="1" customHeight="1" ht="24">
      <c r="A41" s="1374"/>
      <c r="B41" s="1374" t="s">
        <v>155</v>
      </c>
      <c r="C41" s="1374" t="s">
        <v>156</v>
      </c>
      <c r="D41" s="1374" t="s">
        <v>157</v>
      </c>
      <c r="E41" s="1368" t="s">
        <v>455</v>
      </c>
      <c r="F41" s="1368" t="s">
        <v>456</v>
      </c>
      <c r="G41" s="1368" t="s">
        <v>457</v>
      </c>
      <c r="H41" s="1368" t="s">
        <v>458</v>
      </c>
      <c r="I41" s="1368" t="s">
        <v>459</v>
      </c>
      <c r="J41" s="1368" t="s">
        <v>460</v>
      </c>
      <c r="K41" s="1368" t="s">
        <v>461</v>
      </c>
      <c r="L41" s="1368" t="s">
        <v>436</v>
      </c>
      <c r="M41" s="1366"/>
      <c r="N41" s="1366"/>
      <c r="O41" s="1366"/>
      <c r="P41" s="1332"/>
      <c r="Q41" s="380"/>
      <c r="R41" s="380"/>
      <c r="S41" s="2277"/>
      <c r="T41" s="2213"/>
      <c r="U41" s="306"/>
      <c r="V41" s="2297"/>
      <c r="W41" s="2299"/>
      <c r="X41" s="1377" t="s">
        <v>462</v>
      </c>
      <c r="Y41" s="1377" t="s">
        <v>463</v>
      </c>
      <c r="Z41" s="1338" t="s">
        <v>464</v>
      </c>
      <c r="AA41" s="2274" t="s">
        <v>465</v>
      </c>
      <c r="AB41" s="2275"/>
      <c r="AC41" s="2283"/>
      <c r="AD41" s="2297"/>
      <c r="AE41" s="2299"/>
      <c r="AF41" s="1377" t="s">
        <v>462</v>
      </c>
      <c r="AG41" s="1377" t="s">
        <v>463</v>
      </c>
      <c r="AH41" s="1338" t="s">
        <v>464</v>
      </c>
      <c r="AI41" s="2274" t="s">
        <v>465</v>
      </c>
      <c r="AJ41" s="2275"/>
      <c r="AK41" s="2283"/>
      <c r="AL41" s="2286"/>
      <c r="AM41" s="2131"/>
      <c r="AN41" s="515"/>
      <c r="AO41" s="504"/>
      <c r="AP41" s="504"/>
      <c r="AQ41" s="504"/>
      <c r="AR41" s="504"/>
      <c r="AS41" s="586">
        <v>23</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119</v>
      </c>
      <c r="T42" s="1259" t="s">
        <v>103</v>
      </c>
      <c r="U42" s="1249" t="str">
        <f>OFFSET(U42,0,-1)</f>
        <v>2</v>
      </c>
      <c r="V42" s="1339">
        <f>OFFSET(V42,0,-1)+1</f>
        <v>3</v>
      </c>
      <c r="W42" s="1339"/>
      <c r="X42" s="1345">
        <f>OFFSET(X42,0,-1)+1</f>
        <v>1</v>
      </c>
      <c r="Y42" s="1345">
        <f>OFFSET(Y42,0,-1)+1</f>
        <v>2</v>
      </c>
      <c r="Z42" s="1339">
        <f>OFFSET(Z42,0,-1)+1</f>
        <v>3</v>
      </c>
      <c r="AA42" s="2276">
        <f>OFFSET(AA42,0,-1)+1</f>
        <v>4</v>
      </c>
      <c r="AB42" s="2276"/>
      <c r="AC42" s="1339">
        <f>OFFSET(AC42,0,-2)+1</f>
        <v>5</v>
      </c>
      <c r="AD42" s="1339">
        <f>OFFSET(AD42,0,-1)+1</f>
        <v>6</v>
      </c>
      <c r="AE42" s="1339"/>
      <c r="AF42" s="1345">
        <f>OFFSET(AF42,0,-1)+1</f>
        <v>1</v>
      </c>
      <c r="AG42" s="1345">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212</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143</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212</v>
      </c>
      <c r="B44" s="1367" t="s">
        <v>213</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415</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416</v>
      </c>
      <c r="AO44" s="504"/>
      <c r="AP44" s="504" t="str">
        <f>IF(T44="","",T44)</f>
        <v>Территория действия тарифа</v>
      </c>
      <c r="AQ44" s="504"/>
      <c r="AR44" s="504"/>
      <c r="AS44" s="1159">
        <v>21</v>
      </c>
    </row>
    <row customHeight="1" ht="24">
      <c r="A45" s="1367" t="s">
        <v>212</v>
      </c>
      <c r="B45" s="1367" t="s">
        <v>213</v>
      </c>
      <c r="C45" s="1367" t="s">
        <v>214</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417</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418</v>
      </c>
      <c r="AO45" s="504"/>
      <c r="AP45" s="504" t="str">
        <f>IF(T45="","",T45)</f>
        <v>Наименование системы теплоснабжения </v>
      </c>
      <c r="AQ45" s="504"/>
      <c r="AR45" s="504"/>
      <c r="AS45" s="1159">
        <v>23</v>
      </c>
    </row>
    <row customHeight="1" ht="22.049999999999997">
      <c r="A46" s="1367" t="s">
        <v>212</v>
      </c>
      <c r="B46" s="1367" t="s">
        <v>213</v>
      </c>
      <c r="C46" s="1367" t="s">
        <v>214</v>
      </c>
      <c r="D46" s="1367" t="s">
        <v>215</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419</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420</v>
      </c>
      <c r="AO46" s="504"/>
      <c r="AP46" s="504" t="str">
        <f>IF(T46="","",T46)</f>
        <v>Источник тепловой энергии  </v>
      </c>
      <c r="AQ46" s="504"/>
      <c r="AR46" s="504"/>
      <c r="AS46" s="1159">
        <v>21</v>
      </c>
    </row>
    <row customHeight="1" ht="49.5">
      <c r="A47" s="1367" t="s">
        <v>212</v>
      </c>
      <c r="B47" s="1367" t="s">
        <v>213</v>
      </c>
      <c r="C47" s="1367" t="s">
        <v>214</v>
      </c>
      <c r="D47" s="1367" t="s">
        <v>215</v>
      </c>
      <c r="E47" s="2263"/>
      <c r="F47" s="2263"/>
      <c r="G47" s="2263"/>
      <c r="H47" s="2263"/>
      <c r="I47" s="2260" t="str">
        <f>S46&amp;".1"</f>
        <v>....1</v>
      </c>
      <c r="J47" s="1367"/>
      <c r="K47" s="1367"/>
      <c r="L47" s="1368" t="s">
        <v>421</v>
      </c>
      <c r="P47" s="2261">
        <v>1</v>
      </c>
      <c r="Q47" s="1335"/>
      <c r="R47" s="360"/>
      <c r="S47" s="1340" t="str">
        <f>$I47</f>
        <v>....1</v>
      </c>
      <c r="T47" s="289" t="s">
        <v>422</v>
      </c>
      <c r="U47" s="304"/>
      <c r="V47" s="2249"/>
      <c r="W47" s="2250"/>
      <c r="X47" s="2250"/>
      <c r="Y47" s="2250"/>
      <c r="Z47" s="2250"/>
      <c r="AA47" s="2250"/>
      <c r="AB47" s="2250"/>
      <c r="AC47" s="2251"/>
      <c r="AD47" s="2249"/>
      <c r="AE47" s="2250"/>
      <c r="AF47" s="2250"/>
      <c r="AG47" s="2250"/>
      <c r="AH47" s="2250"/>
      <c r="AI47" s="2250"/>
      <c r="AJ47" s="2250"/>
      <c r="AK47" s="2250"/>
      <c r="AL47" s="2251"/>
      <c r="AM47" s="1262" t="s">
        <v>423</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212</v>
      </c>
      <c r="B48" s="1367" t="s">
        <v>213</v>
      </c>
      <c r="C48" s="1367" t="s">
        <v>214</v>
      </c>
      <c r="D48" s="1367" t="s">
        <v>215</v>
      </c>
      <c r="E48" s="2263"/>
      <c r="F48" s="2263"/>
      <c r="G48" s="2263"/>
      <c r="H48" s="2263"/>
      <c r="I48" s="2290"/>
      <c r="J48" s="2260" t="str">
        <f>I47&amp;".1"</f>
        <v>....1.1</v>
      </c>
      <c r="K48" s="1367"/>
      <c r="L48" s="1368" t="s">
        <v>424</v>
      </c>
      <c r="P48" s="2261"/>
      <c r="Q48" s="2261">
        <v>1</v>
      </c>
      <c r="R48" s="361"/>
      <c r="S48" s="1340" t="str">
        <f>$J48</f>
        <v>....1.1</v>
      </c>
      <c r="T48" s="290" t="s">
        <v>425</v>
      </c>
      <c r="U48" s="304"/>
      <c r="V48" s="2249"/>
      <c r="W48" s="2250"/>
      <c r="X48" s="2250"/>
      <c r="Y48" s="2250"/>
      <c r="Z48" s="2250"/>
      <c r="AA48" s="2250"/>
      <c r="AB48" s="2250"/>
      <c r="AC48" s="2251"/>
      <c r="AD48" s="2249"/>
      <c r="AE48" s="2250"/>
      <c r="AF48" s="2250"/>
      <c r="AG48" s="2250"/>
      <c r="AH48" s="2250"/>
      <c r="AI48" s="2250"/>
      <c r="AJ48" s="2250"/>
      <c r="AK48" s="2250"/>
      <c r="AL48" s="2251"/>
      <c r="AM48" s="1262" t="s">
        <v>426</v>
      </c>
      <c r="AO48" s="504"/>
      <c r="AP48" s="504" t="str">
        <f>IF(T48="","",T48)</f>
        <v>Группа потребителей</v>
      </c>
      <c r="AQ48" s="504"/>
      <c r="AR48" s="504"/>
      <c r="AS48" s="1159">
        <v>21</v>
      </c>
    </row>
    <row customHeight="1" ht="22.049999999999997">
      <c r="A49" s="1367" t="s">
        <v>212</v>
      </c>
      <c r="B49" s="1367" t="s">
        <v>213</v>
      </c>
      <c r="C49" s="1367" t="s">
        <v>214</v>
      </c>
      <c r="D49" s="1367" t="s">
        <v>215</v>
      </c>
      <c r="E49" s="2263"/>
      <c r="F49" s="2263"/>
      <c r="G49" s="2263"/>
      <c r="H49" s="2263"/>
      <c r="I49" s="2290"/>
      <c r="J49" s="2290"/>
      <c r="K49" s="2260" t="str">
        <f>J48&amp;".1"</f>
        <v>....1.1.1</v>
      </c>
      <c r="L49" s="1368" t="s">
        <v>427</v>
      </c>
      <c r="P49" s="2261"/>
      <c r="Q49" s="2261"/>
      <c r="R49" s="361">
        <v>1</v>
      </c>
      <c r="S49" s="1340" t="str">
        <f>$K49</f>
        <v>....1.1.1</v>
      </c>
      <c r="T49" s="1351"/>
      <c r="U49" s="304"/>
      <c r="V49" s="329"/>
      <c r="W49" s="755"/>
      <c r="X49" s="329"/>
      <c r="Y49" s="388"/>
      <c r="Z49" s="2269"/>
      <c r="AA49" s="2111" t="s">
        <v>62</v>
      </c>
      <c r="AB49" s="2269"/>
      <c r="AC49" s="2111" t="s">
        <v>62</v>
      </c>
      <c r="AD49" s="329"/>
      <c r="AE49" s="755"/>
      <c r="AF49" s="329"/>
      <c r="AG49" s="388"/>
      <c r="AH49" s="2269"/>
      <c r="AI49" s="2111" t="s">
        <v>62</v>
      </c>
      <c r="AJ49" s="2291"/>
      <c r="AK49" s="2111" t="s">
        <v>62</v>
      </c>
      <c r="AL49" s="1352"/>
      <c r="AM49" s="2257" t="s">
        <v>428</v>
      </c>
      <c r="AN49" s="515">
        <f>STRCHECKDATE(V50:AL50)</f>
      </c>
      <c r="AO49" s="504"/>
      <c r="AP49" s="504" t="str">
        <f>IF(T49="","",T49)</f>
        <v/>
      </c>
      <c r="AQ49" s="504"/>
      <c r="AR49" s="504"/>
      <c r="AS49" s="1159">
        <v>21</v>
      </c>
    </row>
    <row customHeight="1" ht="1.05">
      <c r="A50" s="1367" t="s">
        <v>212</v>
      </c>
      <c r="B50" s="1367" t="s">
        <v>213</v>
      </c>
      <c r="C50" s="1367" t="s">
        <v>214</v>
      </c>
      <c r="D50" s="1367" t="s">
        <v>215</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212</v>
      </c>
      <c r="B51" s="1367" t="s">
        <v>213</v>
      </c>
      <c r="C51" s="1367" t="s">
        <v>214</v>
      </c>
      <c r="D51" s="1367" t="s">
        <v>215</v>
      </c>
      <c r="E51" s="2263"/>
      <c r="F51" s="2263"/>
      <c r="G51" s="2263"/>
      <c r="H51" s="2263"/>
      <c r="I51" s="2290"/>
      <c r="J51" s="2260"/>
      <c r="K51" s="1367"/>
      <c r="L51" s="1368"/>
      <c r="P51" s="2261"/>
      <c r="Q51" s="2261"/>
      <c r="R51" s="360"/>
      <c r="S51" s="1282"/>
      <c r="T51" s="292" t="s">
        <v>429</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212</v>
      </c>
      <c r="B52" s="1367" t="s">
        <v>213</v>
      </c>
      <c r="C52" s="1367" t="s">
        <v>214</v>
      </c>
      <c r="D52" s="1367" t="s">
        <v>215</v>
      </c>
      <c r="E52" s="2263"/>
      <c r="F52" s="2263"/>
      <c r="G52" s="2263"/>
      <c r="H52" s="2263"/>
      <c r="I52" s="2260"/>
      <c r="J52" s="1367"/>
      <c r="K52" s="1367"/>
      <c r="L52" s="1368"/>
      <c r="P52" s="2261"/>
      <c r="Q52" s="1335"/>
      <c r="R52" s="360"/>
      <c r="S52" s="1282"/>
      <c r="T52" s="291" t="s">
        <v>430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212</v>
      </c>
      <c r="B53" s="1367" t="s">
        <v>213</v>
      </c>
      <c r="C53" s="1367" t="s">
        <v>214</v>
      </c>
      <c r="D53" s="1367" t="s">
        <v>215</v>
      </c>
      <c r="E53" s="2263"/>
      <c r="F53" s="2263"/>
      <c r="G53" s="2263"/>
      <c r="H53" s="2262"/>
      <c r="I53" s="1367"/>
      <c r="J53" s="1367"/>
      <c r="K53" s="1367"/>
      <c r="L53" s="1368"/>
      <c r="M53" s="1369"/>
      <c r="N53" s="1369"/>
      <c r="O53" s="541"/>
      <c r="P53" s="364"/>
      <c r="Q53" s="379"/>
      <c r="R53" s="359"/>
      <c r="S53" s="1282"/>
      <c r="T53" s="369" t="s">
        <v>431</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212</v>
      </c>
      <c r="B54" s="1347" t="s">
        <v>213</v>
      </c>
      <c r="C54" s="1347" t="s">
        <v>214</v>
      </c>
      <c r="D54" s="1318"/>
      <c r="E54" s="2263"/>
      <c r="F54" s="2263"/>
      <c r="G54" s="2262"/>
      <c r="H54" s="1318"/>
      <c r="I54" s="1318"/>
      <c r="J54" s="1318"/>
      <c r="K54" s="1318"/>
      <c r="L54" s="1343"/>
      <c r="M54" s="1319"/>
      <c r="N54" s="1319"/>
      <c r="P54" s="1320"/>
      <c r="Q54" s="1321"/>
      <c r="R54" s="1320"/>
      <c r="S54" s="1326"/>
      <c r="T54" s="1329" t="s">
        <v>432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212</v>
      </c>
      <c r="B55" s="1347" t="s">
        <v>213</v>
      </c>
      <c r="C55" s="1318"/>
      <c r="D55" s="1318"/>
      <c r="E55" s="2263"/>
      <c r="F55" s="2262"/>
      <c r="G55" s="1318"/>
      <c r="H55" s="1318"/>
      <c r="I55" s="1318"/>
      <c r="J55" s="1318"/>
      <c r="K55" s="1318"/>
      <c r="L55" s="1343"/>
      <c r="M55" s="1325"/>
      <c r="N55" s="1325"/>
      <c r="P55" s="1320"/>
      <c r="Q55" s="1321"/>
      <c r="R55" s="1320"/>
      <c r="S55" s="1326"/>
      <c r="T55" s="1329" t="s">
        <v>433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212</v>
      </c>
      <c r="B56" s="1347"/>
      <c r="C56" s="1347"/>
      <c r="D56" s="1347"/>
      <c r="E56" s="2262"/>
      <c r="F56" s="1347"/>
      <c r="G56" s="1347"/>
      <c r="H56" s="1347"/>
      <c r="I56" s="1347"/>
      <c r="J56" s="1347"/>
      <c r="K56" s="1347"/>
      <c r="L56" s="1350"/>
      <c r="M56" s="1325"/>
      <c r="N56" s="1325"/>
      <c r="O56" s="522"/>
      <c r="P56" s="384"/>
      <c r="Q56" s="1348"/>
      <c r="R56" s="384"/>
      <c r="S56" s="1326"/>
      <c r="T56" s="1329" t="s">
        <v>434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466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78.7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75</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39.7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38</v>
      </c>
    </row>
    <row customHeight="1" ht="22.5" hidden="1">
      <c r="A65" s="1164" t="s">
        <v>82</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0</v>
      </c>
      <c r="AE65" s="1159">
        <v>24</v>
      </c>
      <c r="AF65" s="1159">
        <v>0</v>
      </c>
      <c r="AG65" s="1159">
        <v>0</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164709-73C3-DD46-F08C-F5EDB680778D}"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8.421875" hidden="1" customWidth="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143</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414</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415</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416</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417</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418</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419</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420</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421</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424</v>
      </c>
      <c r="M7" s="541"/>
      <c r="N7" s="1370"/>
      <c r="P7" s="2261"/>
      <c r="Q7" s="2261">
        <v>1</v>
      </c>
      <c r="R7" s="361"/>
      <c r="S7" s="1340">
        <f>$J7</f>
      </c>
      <c r="T7" s="290" t="s">
        <v>425</v>
      </c>
      <c r="U7" s="304"/>
      <c r="V7" s="2249"/>
      <c r="W7" s="2250"/>
      <c r="X7" s="2250"/>
      <c r="Y7" s="2250"/>
      <c r="Z7" s="2250"/>
      <c r="AA7" s="2250"/>
      <c r="AB7" s="2250"/>
      <c r="AC7" s="2251"/>
      <c r="AD7" s="2249"/>
      <c r="AE7" s="2250"/>
      <c r="AF7" s="2250"/>
      <c r="AG7" s="2250"/>
      <c r="AH7" s="2250"/>
      <c r="AI7" s="2250"/>
      <c r="AJ7" s="2250"/>
      <c r="AK7" s="2250"/>
      <c r="AL7" s="2251"/>
      <c r="AM7" s="1262" t="s">
        <v>426</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427</v>
      </c>
      <c r="M8" s="541"/>
      <c r="N8" s="1370"/>
      <c r="O8" s="1370"/>
      <c r="P8" s="2261"/>
      <c r="Q8" s="2261"/>
      <c r="R8" s="361">
        <v>1</v>
      </c>
      <c r="S8" s="1340">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428</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429</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369" t="s">
        <v>430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433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434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436</v>
      </c>
      <c r="P22" s="1366"/>
      <c r="Q22" s="1375"/>
      <c r="R22" s="1375"/>
      <c r="S22" s="733"/>
      <c r="T22" s="1164" t="s">
        <v>437</v>
      </c>
      <c r="AA22" s="190" t="s">
        <v>438</v>
      </c>
      <c r="AC22" s="190" t="s">
        <v>439</v>
      </c>
      <c r="AD22" s="1164" t="s">
        <v>437</v>
      </c>
      <c r="AI22" s="190" t="s">
        <v>440</v>
      </c>
      <c r="AK22" s="190" t="s">
        <v>439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63">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60</v>
      </c>
    </row>
    <row customHeight="1" ht="14.699999999999998">
      <c r="Q27" s="380"/>
      <c r="R27" s="380"/>
      <c r="S27" s="2253" t="str">
        <f>IF(org=0,"Не определено",org)</f>
        <v>АО "Теплоэнерго"</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41</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441</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442</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42</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443</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444</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445</v>
      </c>
      <c r="AD36" s="330"/>
      <c r="AE36" s="330"/>
      <c r="AF36" s="330"/>
      <c r="AG36" s="330"/>
      <c r="AH36" s="330"/>
      <c r="AI36" s="330"/>
      <c r="AJ36" s="330"/>
      <c r="AK36" s="282" t="s">
        <v>445</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318</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319</v>
      </c>
      <c r="AS38" s="1159">
        <v>14</v>
      </c>
    </row>
    <row customHeight="1" ht="14.699999999999998">
      <c r="Q39" s="380"/>
      <c r="R39" s="380"/>
      <c r="S39" s="2277" t="s">
        <v>88</v>
      </c>
      <c r="T39" s="2213" t="s">
        <v>446</v>
      </c>
      <c r="U39" s="305"/>
      <c r="V39" s="2278" t="s">
        <v>447</v>
      </c>
      <c r="W39" s="2279"/>
      <c r="X39" s="2279"/>
      <c r="Y39" s="2279"/>
      <c r="Z39" s="2279"/>
      <c r="AA39" s="2279"/>
      <c r="AB39" s="2280"/>
      <c r="AC39" s="2281" t="s">
        <v>448</v>
      </c>
      <c r="AD39" s="2278" t="s">
        <v>447</v>
      </c>
      <c r="AE39" s="2279"/>
      <c r="AF39" s="2279"/>
      <c r="AG39" s="2279"/>
      <c r="AH39" s="2279"/>
      <c r="AI39" s="2279"/>
      <c r="AJ39" s="2280"/>
      <c r="AK39" s="2281" t="s">
        <v>449</v>
      </c>
      <c r="AL39" s="2284" t="s">
        <v>450</v>
      </c>
      <c r="AM39" s="2131"/>
      <c r="AS39" s="1159">
        <v>14</v>
      </c>
    </row>
    <row customHeight="1" ht="35.699999999999996">
      <c r="Q40" s="380"/>
      <c r="R40" s="380"/>
      <c r="S40" s="2277"/>
      <c r="T40" s="2213"/>
      <c r="U40" s="1035"/>
      <c r="V40" s="2264" t="s">
        <v>451</v>
      </c>
      <c r="W40" s="2287"/>
      <c r="X40" s="2266" t="s">
        <v>453</v>
      </c>
      <c r="Y40" s="2267"/>
      <c r="Z40" s="2266" t="s">
        <v>454</v>
      </c>
      <c r="AA40" s="2273"/>
      <c r="AB40" s="2267"/>
      <c r="AC40" s="2282"/>
      <c r="AD40" s="2264" t="s">
        <v>468</v>
      </c>
      <c r="AE40" s="2287"/>
      <c r="AF40" s="2266" t="s">
        <v>453</v>
      </c>
      <c r="AG40" s="2267"/>
      <c r="AH40" s="2266" t="s">
        <v>454</v>
      </c>
      <c r="AI40" s="2273"/>
      <c r="AJ40" s="2267"/>
      <c r="AK40" s="2282"/>
      <c r="AL40" s="2285"/>
      <c r="AM40" s="2131"/>
      <c r="AS40" s="1159">
        <v>34</v>
      </c>
    </row>
    <row customHeight="1" ht="35.699999999999996">
      <c r="A41" s="1374"/>
      <c r="B41" s="1374" t="s">
        <v>155</v>
      </c>
      <c r="C41" s="1374" t="s">
        <v>156</v>
      </c>
      <c r="D41" s="1374" t="s">
        <v>157</v>
      </c>
      <c r="E41" s="1368" t="s">
        <v>455</v>
      </c>
      <c r="F41" s="1368" t="s">
        <v>456</v>
      </c>
      <c r="G41" s="1368" t="s">
        <v>457</v>
      </c>
      <c r="H41" s="1368" t="s">
        <v>458</v>
      </c>
      <c r="I41" s="1368" t="s">
        <v>459</v>
      </c>
      <c r="J41" s="1368" t="s">
        <v>460</v>
      </c>
      <c r="K41" s="1368" t="s">
        <v>461</v>
      </c>
      <c r="L41" s="1368" t="s">
        <v>436</v>
      </c>
      <c r="Q41" s="380"/>
      <c r="R41" s="380"/>
      <c r="S41" s="2277"/>
      <c r="T41" s="2213"/>
      <c r="U41" s="306"/>
      <c r="V41" s="2265"/>
      <c r="W41" s="2288"/>
      <c r="X41" s="1226" t="s">
        <v>462</v>
      </c>
      <c r="Y41" s="1226" t="s">
        <v>463</v>
      </c>
      <c r="Z41" s="1342" t="s">
        <v>464</v>
      </c>
      <c r="AA41" s="2274" t="s">
        <v>465</v>
      </c>
      <c r="AB41" s="2275"/>
      <c r="AC41" s="2283"/>
      <c r="AD41" s="2265"/>
      <c r="AE41" s="2288"/>
      <c r="AF41" s="1226" t="s">
        <v>462</v>
      </c>
      <c r="AG41" s="1226" t="s">
        <v>463</v>
      </c>
      <c r="AH41" s="1342" t="s">
        <v>464</v>
      </c>
      <c r="AI41" s="2274" t="s">
        <v>465</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119</v>
      </c>
      <c r="T42" s="1259" t="s">
        <v>103</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188</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143</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188</v>
      </c>
      <c r="B44" s="1367" t="s">
        <v>189</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415</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416</v>
      </c>
      <c r="AO44" s="504"/>
      <c r="AP44" s="504" t="str">
        <f>IF(T44="","",T44)</f>
        <v>Территория действия тарифа</v>
      </c>
      <c r="AQ44" s="504"/>
      <c r="AR44" s="504"/>
      <c r="AS44" s="1159">
        <v>21</v>
      </c>
    </row>
    <row customHeight="1" ht="24">
      <c r="A45" s="1367" t="s">
        <v>188</v>
      </c>
      <c r="B45" s="1367" t="s">
        <v>189</v>
      </c>
      <c r="C45" s="1367" t="s">
        <v>190</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417</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418</v>
      </c>
      <c r="AO45" s="504"/>
      <c r="AP45" s="504" t="str">
        <f>IF(T45="","",T45)</f>
        <v>Наименование системы теплоснабжения </v>
      </c>
      <c r="AQ45" s="504"/>
      <c r="AR45" s="504"/>
      <c r="AS45" s="1159">
        <v>23</v>
      </c>
    </row>
    <row customHeight="1" ht="22.049999999999997">
      <c r="A46" s="1367" t="s">
        <v>188</v>
      </c>
      <c r="B46" s="1367" t="s">
        <v>189</v>
      </c>
      <c r="C46" s="1367" t="s">
        <v>190</v>
      </c>
      <c r="D46" s="1367" t="s">
        <v>191</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419</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420</v>
      </c>
      <c r="AO46" s="504"/>
      <c r="AP46" s="504" t="str">
        <f>IF(T46="","",T46)</f>
        <v>Источник тепловой энергии  </v>
      </c>
      <c r="AQ46" s="504"/>
      <c r="AR46" s="504"/>
      <c r="AS46" s="1159">
        <v>21</v>
      </c>
    </row>
    <row s="1646" customFormat="1" customHeight="1" ht="0">
      <c r="A47" s="1347" t="s">
        <v>188</v>
      </c>
      <c r="B47" s="1347" t="s">
        <v>189</v>
      </c>
      <c r="C47" s="1347" t="s">
        <v>190</v>
      </c>
      <c r="D47" s="1347" t="s">
        <v>191</v>
      </c>
      <c r="E47" s="2263"/>
      <c r="F47" s="2263"/>
      <c r="G47" s="2263"/>
      <c r="H47" s="2263"/>
      <c r="I47" s="2260" t="str">
        <f>S46&amp;".1"</f>
        <v>....1</v>
      </c>
      <c r="J47" s="1347"/>
      <c r="K47" s="1347"/>
      <c r="L47" s="1350" t="s">
        <v>421</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188</v>
      </c>
      <c r="B48" s="1367" t="s">
        <v>189</v>
      </c>
      <c r="C48" s="1367" t="s">
        <v>190</v>
      </c>
      <c r="D48" s="1367" t="s">
        <v>191</v>
      </c>
      <c r="E48" s="2263"/>
      <c r="F48" s="2263"/>
      <c r="G48" s="2263"/>
      <c r="H48" s="2263"/>
      <c r="I48" s="2290"/>
      <c r="J48" s="2260" t="str">
        <f>S46&amp;".1"</f>
        <v>....1</v>
      </c>
      <c r="K48" s="1367"/>
      <c r="L48" s="1368" t="s">
        <v>424</v>
      </c>
      <c r="P48" s="2261"/>
      <c r="Q48" s="2261">
        <v>1</v>
      </c>
      <c r="R48" s="361"/>
      <c r="S48" s="1340" t="str">
        <f>$J48</f>
        <v>....1</v>
      </c>
      <c r="T48" s="290" t="s">
        <v>425</v>
      </c>
      <c r="U48" s="304"/>
      <c r="V48" s="2249"/>
      <c r="W48" s="2250"/>
      <c r="X48" s="2250"/>
      <c r="Y48" s="2250"/>
      <c r="Z48" s="2250"/>
      <c r="AA48" s="2250"/>
      <c r="AB48" s="2250"/>
      <c r="AC48" s="2251"/>
      <c r="AD48" s="2249"/>
      <c r="AE48" s="2250"/>
      <c r="AF48" s="2250"/>
      <c r="AG48" s="2250"/>
      <c r="AH48" s="2250"/>
      <c r="AI48" s="2250"/>
      <c r="AJ48" s="2250"/>
      <c r="AK48" s="2250"/>
      <c r="AL48" s="2251"/>
      <c r="AM48" s="1262" t="s">
        <v>426</v>
      </c>
      <c r="AO48" s="504"/>
      <c r="AP48" s="504" t="str">
        <f>IF(T48="","",T48)</f>
        <v>Группа потребителей</v>
      </c>
      <c r="AQ48" s="504"/>
      <c r="AR48" s="504"/>
      <c r="AS48" s="1159">
        <v>21</v>
      </c>
    </row>
    <row customHeight="1" ht="22.049999999999997">
      <c r="A49" s="1367" t="s">
        <v>188</v>
      </c>
      <c r="B49" s="1367" t="s">
        <v>189</v>
      </c>
      <c r="C49" s="1367" t="s">
        <v>190</v>
      </c>
      <c r="D49" s="1367" t="s">
        <v>191</v>
      </c>
      <c r="E49" s="2263"/>
      <c r="F49" s="2263"/>
      <c r="G49" s="2263"/>
      <c r="H49" s="2263"/>
      <c r="I49" s="2290"/>
      <c r="J49" s="2290"/>
      <c r="K49" s="2260" t="str">
        <f>J48&amp;".1"</f>
        <v>....1.1</v>
      </c>
      <c r="L49" s="1368" t="s">
        <v>427</v>
      </c>
      <c r="P49" s="2261"/>
      <c r="Q49" s="2261"/>
      <c r="R49" s="361">
        <v>1</v>
      </c>
      <c r="S49" s="1340" t="str">
        <f>$K49</f>
        <v>....1.1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469</v>
      </c>
      <c r="AN49" s="515">
        <f>STRCHECKDATE(V50:AL50)</f>
      </c>
      <c r="AO49" s="504"/>
      <c r="AP49" s="504" t="str">
        <f>IF(T49="","",T49)</f>
        <v/>
      </c>
      <c r="AQ49" s="504"/>
      <c r="AR49" s="504"/>
      <c r="AS49" s="1159">
        <v>21</v>
      </c>
    </row>
    <row customHeight="1" ht="1.05">
      <c r="A50" s="1367" t="s">
        <v>188</v>
      </c>
      <c r="B50" s="1367" t="s">
        <v>189</v>
      </c>
      <c r="C50" s="1367" t="s">
        <v>190</v>
      </c>
      <c r="D50" s="1367" t="s">
        <v>191</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188</v>
      </c>
      <c r="B51" s="1367" t="s">
        <v>189</v>
      </c>
      <c r="C51" s="1367" t="s">
        <v>190</v>
      </c>
      <c r="D51" s="1367" t="s">
        <v>191</v>
      </c>
      <c r="E51" s="2263"/>
      <c r="F51" s="2263"/>
      <c r="G51" s="2263"/>
      <c r="H51" s="2263"/>
      <c r="I51" s="2290"/>
      <c r="J51" s="2260"/>
      <c r="K51" s="1367"/>
      <c r="L51" s="1368"/>
      <c r="P51" s="2261"/>
      <c r="Q51" s="2261"/>
      <c r="R51" s="360"/>
      <c r="S51" s="1282"/>
      <c r="T51" s="291" t="s">
        <v>429</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188</v>
      </c>
      <c r="B52" s="1367" t="s">
        <v>189</v>
      </c>
      <c r="C52" s="1367" t="s">
        <v>190</v>
      </c>
      <c r="D52" s="1367" t="s">
        <v>191</v>
      </c>
      <c r="E52" s="2263"/>
      <c r="F52" s="2263"/>
      <c r="G52" s="2263"/>
      <c r="H52" s="2263"/>
      <c r="I52" s="2260"/>
      <c r="J52" s="1367"/>
      <c r="K52" s="1367"/>
      <c r="L52" s="1368"/>
      <c r="P52" s="2261"/>
      <c r="Q52" s="1335"/>
      <c r="R52" s="360"/>
      <c r="S52" s="1282"/>
      <c r="T52" s="369" t="s">
        <v>430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188</v>
      </c>
      <c r="B53" s="1367" t="s">
        <v>189</v>
      </c>
      <c r="C53" s="1367" t="s">
        <v>190</v>
      </c>
      <c r="D53" s="1367" t="s">
        <v>191</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188</v>
      </c>
      <c r="B54" s="1347" t="s">
        <v>189</v>
      </c>
      <c r="C54" s="1347" t="s">
        <v>190</v>
      </c>
      <c r="D54" s="1318"/>
      <c r="E54" s="2263"/>
      <c r="F54" s="2263"/>
      <c r="G54" s="2262"/>
      <c r="H54" s="1318"/>
      <c r="I54" s="1318"/>
      <c r="J54" s="1318"/>
      <c r="K54" s="1318"/>
      <c r="L54" s="1343"/>
      <c r="M54" s="1319"/>
      <c r="N54" s="1319"/>
      <c r="P54" s="1320"/>
      <c r="Q54" s="1321"/>
      <c r="R54" s="1320"/>
      <c r="S54" s="1326"/>
      <c r="T54" s="1329" t="s">
        <v>432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188</v>
      </c>
      <c r="B55" s="1347" t="s">
        <v>189</v>
      </c>
      <c r="C55" s="1318"/>
      <c r="D55" s="1318"/>
      <c r="E55" s="2263"/>
      <c r="F55" s="2262"/>
      <c r="G55" s="1318"/>
      <c r="H55" s="1318"/>
      <c r="I55" s="1318"/>
      <c r="J55" s="1318"/>
      <c r="K55" s="1318"/>
      <c r="L55" s="1343"/>
      <c r="M55" s="1325"/>
      <c r="N55" s="1325"/>
      <c r="P55" s="1320"/>
      <c r="Q55" s="1321"/>
      <c r="R55" s="1320"/>
      <c r="S55" s="1326"/>
      <c r="T55" s="1329" t="s">
        <v>433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188</v>
      </c>
      <c r="B56" s="1347"/>
      <c r="C56" s="1347"/>
      <c r="D56" s="1347"/>
      <c r="E56" s="2262"/>
      <c r="F56" s="1347"/>
      <c r="G56" s="1347"/>
      <c r="H56" s="1347"/>
      <c r="I56" s="1347"/>
      <c r="J56" s="1347"/>
      <c r="K56" s="1347"/>
      <c r="L56" s="1350"/>
      <c r="M56" s="1325"/>
      <c r="N56" s="1325"/>
      <c r="O56" s="522"/>
      <c r="P56" s="384"/>
      <c r="Q56" s="1348"/>
      <c r="R56" s="384"/>
      <c r="S56" s="1326"/>
      <c r="T56" s="1329" t="s">
        <v>434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466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19.9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19</v>
      </c>
    </row>
    <row customHeight="1" ht="29.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28</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82</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F00FB8-C60D-4A17-553A-1E4FA143C17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1" s="1875"/>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143</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414</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415</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416</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2012">
        <f>INDEX(PT_DIFFERENTIATION_NUM_CS,MATCH(C4,PT_DIFFERENTIATION_CS_ID,0))</f>
      </c>
      <c r="T4" s="2016" t="s">
        <v>417</v>
      </c>
      <c r="U4" s="2017"/>
      <c r="V4" s="2304"/>
      <c r="W4" s="2305"/>
      <c r="X4" s="2305"/>
      <c r="Y4" s="2305"/>
      <c r="Z4" s="2305"/>
      <c r="AA4" s="2305"/>
      <c r="AB4" s="2305"/>
      <c r="AC4" s="2306"/>
      <c r="AD4" s="2304">
        <f>INDEX(PT_DIFFERENTIATION_CS,MATCH(C4,PT_DIFFERENTIATION_CS_ID,0))</f>
      </c>
      <c r="AE4" s="2305"/>
      <c r="AF4" s="2305"/>
      <c r="AG4" s="2305"/>
      <c r="AH4" s="2305"/>
      <c r="AI4" s="2305"/>
      <c r="AJ4" s="2305"/>
      <c r="AK4" s="2305"/>
      <c r="AL4" s="2306"/>
      <c r="AM4" s="1262" t="s">
        <v>418</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1639"/>
      <c r="S5" s="2011">
        <f>INDEX(PT_DIFFERENTIATION_NUM_IST_TE,MATCH(D5,PT_DIFFERENTIATION_IST_TE_ID,0))</f>
      </c>
      <c r="T5" s="314" t="s">
        <v>419</v>
      </c>
      <c r="U5" s="304"/>
      <c r="V5" s="2307"/>
      <c r="W5" s="2307"/>
      <c r="X5" s="2307"/>
      <c r="Y5" s="2307"/>
      <c r="Z5" s="2307"/>
      <c r="AA5" s="2307"/>
      <c r="AB5" s="2307"/>
      <c r="AC5" s="2307"/>
      <c r="AD5" s="2307">
        <f>INDEX(PT_DIFFERENTIATION_IST_TE,MATCH(D5,PT_DIFFERENTIATION_IST_TE_ID,0))</f>
      </c>
      <c r="AE5" s="2307"/>
      <c r="AF5" s="2307"/>
      <c r="AG5" s="2307"/>
      <c r="AH5" s="2307"/>
      <c r="AI5" s="2307"/>
      <c r="AJ5" s="2307"/>
      <c r="AK5" s="2307"/>
      <c r="AL5" s="2307"/>
      <c r="AM5" s="2014" t="s">
        <v>420</v>
      </c>
      <c r="AO5" s="504"/>
      <c r="AP5" s="504" t="str">
        <f>IF(T5="","",T5)</f>
        <v>Источник тепловой энергии  </v>
      </c>
      <c r="AQ5" s="504"/>
      <c r="AR5" s="504"/>
      <c r="AS5" s="1159">
        <v>0</v>
      </c>
    </row>
    <row customHeight="1" ht="0.75" hidden="1">
      <c r="A6" s="1367"/>
      <c r="B6" s="1367"/>
      <c r="C6" s="1367"/>
      <c r="D6" s="1367"/>
      <c r="E6" s="2263"/>
      <c r="F6" s="2263"/>
      <c r="G6" s="2263"/>
      <c r="H6" s="2263"/>
      <c r="I6" s="2260">
        <f>S5&amp;".1"</f>
      </c>
      <c r="J6" s="1367"/>
      <c r="K6" s="1367"/>
      <c r="L6" s="1368" t="s">
        <v>421</v>
      </c>
      <c r="M6" s="541"/>
      <c r="P6" s="2261">
        <v>1</v>
      </c>
      <c r="Q6" s="1335"/>
      <c r="R6" s="2010"/>
      <c r="S6" s="1046"/>
      <c r="T6" s="1387"/>
      <c r="U6" s="1388"/>
      <c r="V6" s="2308"/>
      <c r="W6" s="2308"/>
      <c r="X6" s="2308"/>
      <c r="Y6" s="2308"/>
      <c r="Z6" s="2308"/>
      <c r="AA6" s="2308"/>
      <c r="AB6" s="2308"/>
      <c r="AC6" s="2308"/>
      <c r="AD6" s="2308"/>
      <c r="AE6" s="2308"/>
      <c r="AF6" s="2308"/>
      <c r="AG6" s="2308"/>
      <c r="AH6" s="2308"/>
      <c r="AI6" s="2308"/>
      <c r="AJ6" s="2308"/>
      <c r="AK6" s="2308"/>
      <c r="AL6" s="2308"/>
      <c r="AM6" s="2015"/>
      <c r="AO6" s="504"/>
      <c r="AP6" s="504" t="str">
        <f>IF(T6="","",T6)</f>
        <v/>
      </c>
      <c r="AQ6" s="504"/>
      <c r="AR6" s="504"/>
      <c r="AS6" s="1159">
        <v>0</v>
      </c>
    </row>
    <row customHeight="1" ht="84" hidden="1">
      <c r="A7" s="1367"/>
      <c r="B7" s="1367"/>
      <c r="C7" s="1367"/>
      <c r="D7" s="1367"/>
      <c r="E7" s="2263"/>
      <c r="F7" s="2263"/>
      <c r="G7" s="2263"/>
      <c r="H7" s="2263"/>
      <c r="I7" s="2290"/>
      <c r="J7" s="2260">
        <f>I6&amp;".1"</f>
      </c>
      <c r="K7" s="1367"/>
      <c r="L7" s="1368" t="s">
        <v>424</v>
      </c>
      <c r="M7" s="541"/>
      <c r="N7" s="1370"/>
      <c r="P7" s="2261"/>
      <c r="Q7" s="2261">
        <v>1</v>
      </c>
      <c r="R7" s="1646"/>
      <c r="S7" s="2011">
        <f>$J7</f>
      </c>
      <c r="T7" s="290" t="s">
        <v>425</v>
      </c>
      <c r="U7" s="304"/>
      <c r="V7" s="2309"/>
      <c r="W7" s="2309"/>
      <c r="X7" s="2309"/>
      <c r="Y7" s="2309"/>
      <c r="Z7" s="2309"/>
      <c r="AA7" s="2309"/>
      <c r="AB7" s="2309"/>
      <c r="AC7" s="2309"/>
      <c r="AD7" s="2309"/>
      <c r="AE7" s="2309"/>
      <c r="AF7" s="2309"/>
      <c r="AG7" s="2309"/>
      <c r="AH7" s="2309"/>
      <c r="AI7" s="2309"/>
      <c r="AJ7" s="2309"/>
      <c r="AK7" s="2309"/>
      <c r="AL7" s="2309"/>
      <c r="AM7" s="2014" t="s">
        <v>426</v>
      </c>
      <c r="AO7" s="504"/>
      <c r="AP7" s="504" t="str">
        <f>IF(T7="","",T7)</f>
        <v>Группа потребителей</v>
      </c>
      <c r="AQ7" s="504"/>
      <c r="AR7" s="504"/>
      <c r="AS7" s="1159">
        <v>0</v>
      </c>
    </row>
    <row customHeight="1" ht="11.25" hidden="1">
      <c r="A8" s="1367"/>
      <c r="B8" s="1367"/>
      <c r="C8" s="1367"/>
      <c r="D8" s="1367"/>
      <c r="E8" s="2263"/>
      <c r="F8" s="2263"/>
      <c r="G8" s="2263"/>
      <c r="H8" s="2263"/>
      <c r="I8" s="2290"/>
      <c r="J8" s="2290"/>
      <c r="K8" s="2260">
        <f>J7&amp;".1"</f>
      </c>
      <c r="L8" s="1368" t="s">
        <v>427</v>
      </c>
      <c r="M8" s="541"/>
      <c r="N8" s="1370"/>
      <c r="O8" s="1370"/>
      <c r="P8" s="2261"/>
      <c r="Q8" s="2261"/>
      <c r="R8" s="361">
        <v>1</v>
      </c>
      <c r="S8" s="2013">
        <f>$K8</f>
      </c>
      <c r="T8" s="2018"/>
      <c r="U8" s="2019"/>
      <c r="V8" s="2020"/>
      <c r="W8" s="1353"/>
      <c r="X8" s="2020"/>
      <c r="Y8" s="2021"/>
      <c r="Z8" s="2310"/>
      <c r="AA8" s="2116" t="s">
        <v>62</v>
      </c>
      <c r="AB8" s="2310"/>
      <c r="AC8" s="2116" t="s">
        <v>62</v>
      </c>
      <c r="AD8" s="2020"/>
      <c r="AE8" s="1353"/>
      <c r="AF8" s="2020"/>
      <c r="AG8" s="2021"/>
      <c r="AH8" s="2310"/>
      <c r="AI8" s="2116" t="s">
        <v>62</v>
      </c>
      <c r="AJ8" s="2310"/>
      <c r="AK8" s="2116" t="s">
        <v>62</v>
      </c>
      <c r="AL8" s="1353"/>
      <c r="AM8" s="2257" t="s">
        <v>428</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1.25" hidden="1">
      <c r="A10" s="1367"/>
      <c r="B10" s="1367"/>
      <c r="C10" s="1367"/>
      <c r="D10" s="1367"/>
      <c r="E10" s="2263"/>
      <c r="F10" s="2263"/>
      <c r="G10" s="2263"/>
      <c r="H10" s="2263"/>
      <c r="I10" s="2290"/>
      <c r="J10" s="2260"/>
      <c r="K10" s="1367"/>
      <c r="L10" s="1368"/>
      <c r="M10" s="541"/>
      <c r="N10" s="1370"/>
      <c r="P10" s="2261"/>
      <c r="Q10" s="2261"/>
      <c r="R10" s="360"/>
      <c r="S10" s="1282"/>
      <c r="T10" s="291" t="s">
        <v>429</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430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0.7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432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433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434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436</v>
      </c>
      <c r="P22" s="1366"/>
      <c r="Q22" s="1375"/>
      <c r="R22" s="1375"/>
      <c r="S22" s="733"/>
      <c r="T22" s="1164" t="s">
        <v>437</v>
      </c>
      <c r="AA22" s="190" t="s">
        <v>438</v>
      </c>
      <c r="AC22" s="190" t="s">
        <v>439</v>
      </c>
      <c r="AD22" s="1164" t="s">
        <v>437</v>
      </c>
      <c r="AI22" s="190" t="s">
        <v>440</v>
      </c>
      <c r="AK22" s="190" t="s">
        <v>439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4.75">
      <c r="Q26" s="380"/>
      <c r="R26" s="380"/>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247"/>
      <c r="AS26" s="1159">
        <v>52</v>
      </c>
    </row>
    <row customHeight="1" ht="14.699999999999998">
      <c r="Q27" s="380"/>
      <c r="R27" s="380"/>
      <c r="S27" s="2253" t="str">
        <f>IF(org=0,"Не определено",org)</f>
        <v>АО "Теплоэнерго"</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41</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441</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442</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42</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443</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444</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445</v>
      </c>
      <c r="AD36" s="330"/>
      <c r="AE36" s="330"/>
      <c r="AF36" s="330"/>
      <c r="AG36" s="330"/>
      <c r="AH36" s="330"/>
      <c r="AI36" s="330"/>
      <c r="AJ36" s="330"/>
      <c r="AK36" s="282" t="s">
        <v>445</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318</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319</v>
      </c>
      <c r="AS38" s="1159">
        <v>14</v>
      </c>
    </row>
    <row customHeight="1" ht="14.699999999999998">
      <c r="Q39" s="380"/>
      <c r="R39" s="380"/>
      <c r="S39" s="2277" t="s">
        <v>88</v>
      </c>
      <c r="T39" s="2213" t="s">
        <v>446</v>
      </c>
      <c r="U39" s="305"/>
      <c r="V39" s="2278" t="s">
        <v>447</v>
      </c>
      <c r="W39" s="2279"/>
      <c r="X39" s="2279"/>
      <c r="Y39" s="2279"/>
      <c r="Z39" s="2279"/>
      <c r="AA39" s="2279"/>
      <c r="AB39" s="2280"/>
      <c r="AC39" s="2281" t="s">
        <v>448</v>
      </c>
      <c r="AD39" s="2278" t="s">
        <v>447</v>
      </c>
      <c r="AE39" s="2279"/>
      <c r="AF39" s="2279"/>
      <c r="AG39" s="2279"/>
      <c r="AH39" s="2279"/>
      <c r="AI39" s="2279"/>
      <c r="AJ39" s="2280"/>
      <c r="AK39" s="2281" t="s">
        <v>449</v>
      </c>
      <c r="AL39" s="2284" t="s">
        <v>450</v>
      </c>
      <c r="AM39" s="2131"/>
      <c r="AS39" s="1159">
        <v>14</v>
      </c>
    </row>
    <row customHeight="1" ht="35.699999999999996">
      <c r="Q40" s="380"/>
      <c r="R40" s="380"/>
      <c r="S40" s="2277"/>
      <c r="T40" s="2213"/>
      <c r="U40" s="1035"/>
      <c r="V40" s="2264" t="s">
        <v>451</v>
      </c>
      <c r="W40" s="2287"/>
      <c r="X40" s="2266" t="s">
        <v>453</v>
      </c>
      <c r="Y40" s="2267"/>
      <c r="Z40" s="2266" t="s">
        <v>454</v>
      </c>
      <c r="AA40" s="2273"/>
      <c r="AB40" s="2267"/>
      <c r="AC40" s="2282"/>
      <c r="AD40" s="2264" t="s">
        <v>468</v>
      </c>
      <c r="AE40" s="2287"/>
      <c r="AF40" s="2266" t="s">
        <v>453</v>
      </c>
      <c r="AG40" s="2267"/>
      <c r="AH40" s="2266" t="s">
        <v>454</v>
      </c>
      <c r="AI40" s="2273"/>
      <c r="AJ40" s="2267"/>
      <c r="AK40" s="2282"/>
      <c r="AL40" s="2285"/>
      <c r="AM40" s="2131"/>
      <c r="AS40" s="1159">
        <v>34</v>
      </c>
    </row>
    <row customHeight="1" ht="35.699999999999996">
      <c r="A41" s="1374"/>
      <c r="B41" s="1374" t="s">
        <v>155</v>
      </c>
      <c r="C41" s="1374" t="s">
        <v>156</v>
      </c>
      <c r="D41" s="1374" t="s">
        <v>157</v>
      </c>
      <c r="E41" s="1368" t="s">
        <v>455</v>
      </c>
      <c r="F41" s="1368" t="s">
        <v>456</v>
      </c>
      <c r="G41" s="1368" t="s">
        <v>457</v>
      </c>
      <c r="H41" s="1368" t="s">
        <v>458</v>
      </c>
      <c r="I41" s="1368" t="s">
        <v>459</v>
      </c>
      <c r="J41" s="1368" t="s">
        <v>460</v>
      </c>
      <c r="K41" s="1368" t="s">
        <v>461</v>
      </c>
      <c r="L41" s="1368" t="s">
        <v>436</v>
      </c>
      <c r="Q41" s="380"/>
      <c r="R41" s="380"/>
      <c r="S41" s="2277"/>
      <c r="T41" s="2213"/>
      <c r="U41" s="306"/>
      <c r="V41" s="2265"/>
      <c r="W41" s="2288"/>
      <c r="X41" s="1226" t="s">
        <v>462</v>
      </c>
      <c r="Y41" s="1226" t="s">
        <v>463</v>
      </c>
      <c r="Z41" s="1342" t="s">
        <v>464</v>
      </c>
      <c r="AA41" s="2274" t="s">
        <v>465</v>
      </c>
      <c r="AB41" s="2275"/>
      <c r="AC41" s="2283"/>
      <c r="AD41" s="2265"/>
      <c r="AE41" s="2288"/>
      <c r="AF41" s="1226" t="s">
        <v>462</v>
      </c>
      <c r="AG41" s="1226" t="s">
        <v>463</v>
      </c>
      <c r="AH41" s="1342" t="s">
        <v>464</v>
      </c>
      <c r="AI41" s="2274" t="s">
        <v>465</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119</v>
      </c>
      <c r="T42" s="1259" t="s">
        <v>103</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200</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143</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200</v>
      </c>
      <c r="B44" s="1367" t="s">
        <v>201</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415</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416</v>
      </c>
      <c r="AO44" s="504"/>
      <c r="AP44" s="504" t="str">
        <f>IF(T44="","",T44)</f>
        <v>Территория действия тарифа</v>
      </c>
      <c r="AQ44" s="504"/>
      <c r="AR44" s="504"/>
      <c r="AS44" s="1159">
        <v>21</v>
      </c>
    </row>
    <row customHeight="1" ht="24">
      <c r="A45" s="1367" t="s">
        <v>200</v>
      </c>
      <c r="B45" s="1367" t="s">
        <v>201</v>
      </c>
      <c r="C45" s="1367" t="s">
        <v>202</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417</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418</v>
      </c>
      <c r="AO45" s="504"/>
      <c r="AP45" s="504" t="str">
        <f>IF(T45="","",T45)</f>
        <v>Наименование системы теплоснабжения </v>
      </c>
      <c r="AQ45" s="504"/>
      <c r="AR45" s="504"/>
      <c r="AS45" s="1159">
        <v>23</v>
      </c>
    </row>
    <row customHeight="1" ht="22.049999999999997">
      <c r="A46" s="1367" t="s">
        <v>200</v>
      </c>
      <c r="B46" s="1367" t="s">
        <v>201</v>
      </c>
      <c r="C46" s="1367" t="s">
        <v>202</v>
      </c>
      <c r="D46" s="1367" t="s">
        <v>203</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419</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420</v>
      </c>
      <c r="AO46" s="504"/>
      <c r="AP46" s="504" t="str">
        <f>IF(T46="","",T46)</f>
        <v>Источник тепловой энергии  </v>
      </c>
      <c r="AQ46" s="504"/>
      <c r="AR46" s="504"/>
      <c r="AS46" s="1159">
        <v>21</v>
      </c>
    </row>
    <row s="1646" customFormat="1" customHeight="1" ht="0">
      <c r="A47" s="1347" t="s">
        <v>200</v>
      </c>
      <c r="B47" s="1347" t="s">
        <v>201</v>
      </c>
      <c r="C47" s="1347" t="s">
        <v>202</v>
      </c>
      <c r="D47" s="1347" t="s">
        <v>203</v>
      </c>
      <c r="E47" s="2263"/>
      <c r="F47" s="2263"/>
      <c r="G47" s="2263"/>
      <c r="H47" s="2263"/>
      <c r="I47" s="2260" t="str">
        <f>S46&amp;".1"</f>
        <v>....1</v>
      </c>
      <c r="J47" s="1347"/>
      <c r="K47" s="1347"/>
      <c r="L47" s="1350" t="s">
        <v>421</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200</v>
      </c>
      <c r="B48" s="1367" t="s">
        <v>201</v>
      </c>
      <c r="C48" s="1367" t="s">
        <v>202</v>
      </c>
      <c r="D48" s="1367" t="s">
        <v>203</v>
      </c>
      <c r="E48" s="2263"/>
      <c r="F48" s="2263"/>
      <c r="G48" s="2263"/>
      <c r="H48" s="2263"/>
      <c r="I48" s="2290"/>
      <c r="J48" s="2260" t="str">
        <f>S46&amp;".1"</f>
        <v>....1</v>
      </c>
      <c r="K48" s="1367"/>
      <c r="L48" s="1368" t="s">
        <v>424</v>
      </c>
      <c r="P48" s="2261"/>
      <c r="Q48" s="2261">
        <v>1</v>
      </c>
      <c r="R48" s="361"/>
      <c r="S48" s="1340" t="str">
        <f>$J48</f>
        <v>....1</v>
      </c>
      <c r="T48" s="290" t="s">
        <v>425</v>
      </c>
      <c r="U48" s="304"/>
      <c r="V48" s="2249"/>
      <c r="W48" s="2250"/>
      <c r="X48" s="2250"/>
      <c r="Y48" s="2250"/>
      <c r="Z48" s="2250"/>
      <c r="AA48" s="2250"/>
      <c r="AB48" s="2250"/>
      <c r="AC48" s="2251"/>
      <c r="AD48" s="2249"/>
      <c r="AE48" s="2250"/>
      <c r="AF48" s="2250"/>
      <c r="AG48" s="2250"/>
      <c r="AH48" s="2250"/>
      <c r="AI48" s="2250"/>
      <c r="AJ48" s="2250"/>
      <c r="AK48" s="2250"/>
      <c r="AL48" s="2251"/>
      <c r="AM48" s="1262" t="s">
        <v>426</v>
      </c>
      <c r="AO48" s="504"/>
      <c r="AP48" s="504" t="str">
        <f>IF(T48="","",T48)</f>
        <v>Группа потребителей</v>
      </c>
      <c r="AQ48" s="504"/>
      <c r="AR48" s="504"/>
      <c r="AS48" s="1159">
        <v>21</v>
      </c>
    </row>
    <row customHeight="1" ht="22.049999999999997">
      <c r="A49" s="1367" t="s">
        <v>200</v>
      </c>
      <c r="B49" s="1367" t="s">
        <v>201</v>
      </c>
      <c r="C49" s="1367" t="s">
        <v>202</v>
      </c>
      <c r="D49" s="1367" t="s">
        <v>203</v>
      </c>
      <c r="E49" s="2263"/>
      <c r="F49" s="2263"/>
      <c r="G49" s="2263"/>
      <c r="H49" s="2263"/>
      <c r="I49" s="2290"/>
      <c r="J49" s="2290"/>
      <c r="K49" s="2260" t="str">
        <f>J48&amp;".1"</f>
        <v>....1.1</v>
      </c>
      <c r="L49" s="1368" t="s">
        <v>427</v>
      </c>
      <c r="P49" s="2261"/>
      <c r="Q49" s="2261"/>
      <c r="R49" s="361">
        <v>1</v>
      </c>
      <c r="S49" s="1340" t="str">
        <f>$K49</f>
        <v>....1.1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469</v>
      </c>
      <c r="AN49" s="515">
        <f>STRCHECKDATE(V50:AL50)</f>
      </c>
      <c r="AO49" s="504"/>
      <c r="AP49" s="504" t="str">
        <f>IF(T49="","",T49)</f>
        <v/>
      </c>
      <c r="AQ49" s="504"/>
      <c r="AR49" s="504"/>
      <c r="AS49" s="1159">
        <v>21</v>
      </c>
    </row>
    <row customHeight="1" ht="1.05">
      <c r="A50" s="1367" t="s">
        <v>200</v>
      </c>
      <c r="B50" s="1367" t="s">
        <v>201</v>
      </c>
      <c r="C50" s="1367" t="s">
        <v>202</v>
      </c>
      <c r="D50" s="1367" t="s">
        <v>203</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200</v>
      </c>
      <c r="B51" s="1367" t="s">
        <v>201</v>
      </c>
      <c r="C51" s="1367" t="s">
        <v>202</v>
      </c>
      <c r="D51" s="1367" t="s">
        <v>203</v>
      </c>
      <c r="E51" s="2263"/>
      <c r="F51" s="2263"/>
      <c r="G51" s="2263"/>
      <c r="H51" s="2263"/>
      <c r="I51" s="2290"/>
      <c r="J51" s="2260"/>
      <c r="K51" s="1367"/>
      <c r="L51" s="1368"/>
      <c r="P51" s="2261"/>
      <c r="Q51" s="2261"/>
      <c r="R51" s="360"/>
      <c r="S51" s="1282"/>
      <c r="T51" s="291" t="s">
        <v>429</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200</v>
      </c>
      <c r="B52" s="1367" t="s">
        <v>201</v>
      </c>
      <c r="C52" s="1367" t="s">
        <v>202</v>
      </c>
      <c r="D52" s="1367" t="s">
        <v>203</v>
      </c>
      <c r="E52" s="2263"/>
      <c r="F52" s="2263"/>
      <c r="G52" s="2263"/>
      <c r="H52" s="2263"/>
      <c r="I52" s="2260"/>
      <c r="J52" s="1367"/>
      <c r="K52" s="1367"/>
      <c r="L52" s="1368"/>
      <c r="P52" s="2261"/>
      <c r="Q52" s="1335"/>
      <c r="R52" s="360"/>
      <c r="S52" s="1282"/>
      <c r="T52" s="369" t="s">
        <v>430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200</v>
      </c>
      <c r="B53" s="1367" t="s">
        <v>201</v>
      </c>
      <c r="C53" s="1367" t="s">
        <v>202</v>
      </c>
      <c r="D53" s="1367" t="s">
        <v>203</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200</v>
      </c>
      <c r="B54" s="1347" t="s">
        <v>201</v>
      </c>
      <c r="C54" s="1347" t="s">
        <v>202</v>
      </c>
      <c r="D54" s="1318"/>
      <c r="E54" s="2263"/>
      <c r="F54" s="2263"/>
      <c r="G54" s="2262"/>
      <c r="H54" s="1318"/>
      <c r="I54" s="1318"/>
      <c r="J54" s="1318"/>
      <c r="K54" s="1318"/>
      <c r="L54" s="1343"/>
      <c r="M54" s="1319"/>
      <c r="N54" s="1319"/>
      <c r="P54" s="1320"/>
      <c r="Q54" s="1321"/>
      <c r="R54" s="1320"/>
      <c r="S54" s="1326"/>
      <c r="T54" s="1329" t="s">
        <v>432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200</v>
      </c>
      <c r="B55" s="1347" t="s">
        <v>201</v>
      </c>
      <c r="C55" s="1318"/>
      <c r="D55" s="1318"/>
      <c r="E55" s="2263"/>
      <c r="F55" s="2262"/>
      <c r="G55" s="1318"/>
      <c r="H55" s="1318"/>
      <c r="I55" s="1318"/>
      <c r="J55" s="1318"/>
      <c r="K55" s="1318"/>
      <c r="L55" s="1343"/>
      <c r="M55" s="1325"/>
      <c r="N55" s="1325"/>
      <c r="P55" s="1320"/>
      <c r="Q55" s="1321"/>
      <c r="R55" s="1320"/>
      <c r="S55" s="1326"/>
      <c r="T55" s="1329" t="s">
        <v>433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200</v>
      </c>
      <c r="B56" s="1347"/>
      <c r="C56" s="1347"/>
      <c r="D56" s="1347"/>
      <c r="E56" s="2262"/>
      <c r="F56" s="1347"/>
      <c r="G56" s="1347"/>
      <c r="H56" s="1347"/>
      <c r="I56" s="1347"/>
      <c r="J56" s="1347"/>
      <c r="K56" s="1347"/>
      <c r="L56" s="1350"/>
      <c r="M56" s="1325"/>
      <c r="N56" s="1325"/>
      <c r="O56" s="522"/>
      <c r="P56" s="384"/>
      <c r="Q56" s="1348"/>
      <c r="R56" s="384"/>
      <c r="S56" s="1326"/>
      <c r="T56" s="1329" t="s">
        <v>434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466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3.2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22</v>
      </c>
    </row>
    <row customHeight="1" ht="30.4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29</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82</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53CBCC-D7B3-53A9-73E5-83C1D8DA3C7D}"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143</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414</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415</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416</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417</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418</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419</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420</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421</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424</v>
      </c>
      <c r="M7" s="541"/>
      <c r="N7" s="1370"/>
      <c r="P7" s="2261"/>
      <c r="Q7" s="2261">
        <v>1</v>
      </c>
      <c r="R7" s="361"/>
      <c r="S7" s="1340">
        <f>$J7</f>
      </c>
      <c r="T7" s="290" t="s">
        <v>425</v>
      </c>
      <c r="U7" s="304"/>
      <c r="V7" s="2249"/>
      <c r="W7" s="2250"/>
      <c r="X7" s="2250"/>
      <c r="Y7" s="2250"/>
      <c r="Z7" s="2250"/>
      <c r="AA7" s="2250"/>
      <c r="AB7" s="2250"/>
      <c r="AC7" s="2251"/>
      <c r="AD7" s="2249"/>
      <c r="AE7" s="2250"/>
      <c r="AF7" s="2250"/>
      <c r="AG7" s="2250"/>
      <c r="AH7" s="2250"/>
      <c r="AI7" s="2250"/>
      <c r="AJ7" s="2250"/>
      <c r="AK7" s="2250"/>
      <c r="AL7" s="2251"/>
      <c r="AM7" s="1262" t="s">
        <v>426</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427</v>
      </c>
      <c r="M8" s="541"/>
      <c r="N8" s="1370"/>
      <c r="O8" s="1370"/>
      <c r="P8" s="2261"/>
      <c r="Q8" s="2261"/>
      <c r="R8" s="361">
        <v>1</v>
      </c>
      <c r="S8" s="1340">
        <f>$K8</f>
      </c>
      <c r="T8" s="1351"/>
      <c r="U8" s="304"/>
      <c r="V8" s="755"/>
      <c r="W8" s="329"/>
      <c r="X8" s="755"/>
      <c r="Y8" s="1261"/>
      <c r="Z8" s="2269"/>
      <c r="AA8" s="2111" t="s">
        <v>62</v>
      </c>
      <c r="AB8" s="2269"/>
      <c r="AC8" s="2111" t="s">
        <v>62</v>
      </c>
      <c r="AD8" s="755"/>
      <c r="AE8" s="329"/>
      <c r="AF8" s="755"/>
      <c r="AG8" s="1261"/>
      <c r="AH8" s="2269"/>
      <c r="AI8" s="2111" t="s">
        <v>62</v>
      </c>
      <c r="AJ8" s="2269"/>
      <c r="AK8" s="2111" t="s">
        <v>62</v>
      </c>
      <c r="AL8" s="329"/>
      <c r="AM8" s="2257" t="s">
        <v>428</v>
      </c>
      <c r="AN8" s="515">
        <f>STRCHECKDATE(V9:AL9)</f>
      </c>
      <c r="AO8" s="504"/>
      <c r="AP8" s="504" t="str">
        <f>IF(T8="","",T8)</f>
        <v/>
      </c>
      <c r="AQ8" s="504"/>
      <c r="AR8" s="504"/>
      <c r="AS8" s="1159">
        <v>0</v>
      </c>
    </row>
    <row customHeight="1" ht="14.2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429</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430</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14.25" hidden="1">
      <c r="A13" s="1318"/>
      <c r="B13" s="1318"/>
      <c r="C13" s="1318"/>
      <c r="D13" s="1318"/>
      <c r="E13" s="2263"/>
      <c r="F13" s="2263"/>
      <c r="G13" s="2262"/>
      <c r="H13" s="1318"/>
      <c r="I13" s="1318"/>
      <c r="J13" s="1318"/>
      <c r="K13" s="1318"/>
      <c r="L13" s="1343"/>
      <c r="M13" s="1319"/>
      <c r="N13" s="1319"/>
      <c r="P13" s="1320"/>
      <c r="Q13" s="1321"/>
      <c r="R13" s="1320"/>
      <c r="S13" s="1322"/>
      <c r="T13" s="1323" t="s">
        <v>432</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14.25" hidden="1">
      <c r="A14" s="1318"/>
      <c r="B14" s="1318"/>
      <c r="C14" s="1318"/>
      <c r="D14" s="1318"/>
      <c r="E14" s="2263"/>
      <c r="F14" s="2262"/>
      <c r="G14" s="1318"/>
      <c r="H14" s="1318"/>
      <c r="I14" s="1318"/>
      <c r="J14" s="1318"/>
      <c r="K14" s="1318"/>
      <c r="L14" s="1343"/>
      <c r="M14" s="1325"/>
      <c r="N14" s="1325"/>
      <c r="P14" s="1320"/>
      <c r="Q14" s="1321"/>
      <c r="R14" s="1320"/>
      <c r="S14" s="1326"/>
      <c r="T14" s="1327" t="s">
        <v>433</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14.25" hidden="1">
      <c r="A15" s="1318"/>
      <c r="B15" s="1318"/>
      <c r="C15" s="1318"/>
      <c r="D15" s="1318"/>
      <c r="E15" s="2262"/>
      <c r="F15" s="1318"/>
      <c r="G15" s="1318"/>
      <c r="H15" s="1318"/>
      <c r="I15" s="1318"/>
      <c r="J15" s="1318"/>
      <c r="K15" s="1318"/>
      <c r="L15" s="1343"/>
      <c r="M15" s="1325"/>
      <c r="N15" s="1325"/>
      <c r="P15" s="1320"/>
      <c r="Q15" s="1321"/>
      <c r="R15" s="1320"/>
      <c r="S15" s="1326"/>
      <c r="T15" s="1329" t="s">
        <v>434</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62</v>
      </c>
      <c r="AJ17" s="2271"/>
      <c r="AK17" s="2272" t="s">
        <v>62</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435</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436</v>
      </c>
      <c r="P22" s="1366"/>
      <c r="Q22" s="1375"/>
      <c r="R22" s="1375"/>
      <c r="S22" s="733"/>
      <c r="T22" s="1164" t="s">
        <v>437</v>
      </c>
      <c r="AA22" s="190" t="s">
        <v>438</v>
      </c>
      <c r="AC22" s="190" t="s">
        <v>439</v>
      </c>
      <c r="AD22" s="1164" t="s">
        <v>437</v>
      </c>
      <c r="AI22" s="190" t="s">
        <v>440</v>
      </c>
      <c r="AK22" s="190" t="s">
        <v>439</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3.54999999999999">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51</v>
      </c>
    </row>
    <row customHeight="1" ht="14.699999999999998">
      <c r="Q27" s="380"/>
      <c r="R27" s="380"/>
      <c r="S27" s="2253" t="str">
        <f>IF(org=0,"Не определено",org)</f>
        <v>АО "Теплоэнерго"</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41</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441</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442</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42</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443</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25.5" hidden="1">
      <c r="A35" s="1372"/>
      <c r="B35" s="1372"/>
      <c r="C35" s="1372"/>
      <c r="D35" s="1372"/>
      <c r="E35" s="1372"/>
      <c r="F35" s="1372"/>
      <c r="G35" s="1372"/>
      <c r="H35" s="1372"/>
      <c r="I35" s="1372"/>
      <c r="J35" s="1372"/>
      <c r="K35" s="1372"/>
      <c r="L35" s="1373"/>
      <c r="M35" s="1372"/>
      <c r="N35" s="1372"/>
      <c r="O35" s="1372"/>
      <c r="S35" s="2254" t="s">
        <v>444</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445</v>
      </c>
      <c r="AD36" s="330"/>
      <c r="AE36" s="330"/>
      <c r="AF36" s="330"/>
      <c r="AG36" s="330"/>
      <c r="AH36" s="330"/>
      <c r="AI36" s="330"/>
      <c r="AJ36" s="330"/>
      <c r="AK36" s="282" t="s">
        <v>445</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318</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319</v>
      </c>
      <c r="AS38" s="1159">
        <v>14</v>
      </c>
    </row>
    <row customHeight="1" ht="14.699999999999998">
      <c r="Q39" s="380"/>
      <c r="R39" s="380"/>
      <c r="S39" s="2277" t="s">
        <v>88</v>
      </c>
      <c r="T39" s="2213" t="s">
        <v>446</v>
      </c>
      <c r="U39" s="305"/>
      <c r="V39" s="2278" t="s">
        <v>447</v>
      </c>
      <c r="W39" s="2279"/>
      <c r="X39" s="2279"/>
      <c r="Y39" s="2279"/>
      <c r="Z39" s="2279"/>
      <c r="AA39" s="2279"/>
      <c r="AB39" s="2280"/>
      <c r="AC39" s="2281" t="s">
        <v>448</v>
      </c>
      <c r="AD39" s="2278" t="s">
        <v>447</v>
      </c>
      <c r="AE39" s="2279"/>
      <c r="AF39" s="2279"/>
      <c r="AG39" s="2279"/>
      <c r="AH39" s="2279"/>
      <c r="AI39" s="2279"/>
      <c r="AJ39" s="2280"/>
      <c r="AK39" s="2281" t="s">
        <v>449</v>
      </c>
      <c r="AL39" s="2284" t="s">
        <v>450</v>
      </c>
      <c r="AM39" s="2131"/>
      <c r="AS39" s="1159">
        <v>14</v>
      </c>
    </row>
    <row customHeight="1" ht="35.699999999999996">
      <c r="Q40" s="380"/>
      <c r="R40" s="380"/>
      <c r="S40" s="2277"/>
      <c r="T40" s="2213"/>
      <c r="U40" s="1035"/>
      <c r="V40" s="2264" t="s">
        <v>451</v>
      </c>
      <c r="W40" s="2287"/>
      <c r="X40" s="2266" t="s">
        <v>453</v>
      </c>
      <c r="Y40" s="2267"/>
      <c r="Z40" s="2266" t="s">
        <v>454</v>
      </c>
      <c r="AA40" s="2273"/>
      <c r="AB40" s="2267"/>
      <c r="AC40" s="2282"/>
      <c r="AD40" s="2264" t="s">
        <v>468</v>
      </c>
      <c r="AE40" s="2287"/>
      <c r="AF40" s="2266" t="s">
        <v>453</v>
      </c>
      <c r="AG40" s="2267"/>
      <c r="AH40" s="2266" t="s">
        <v>454</v>
      </c>
      <c r="AI40" s="2273"/>
      <c r="AJ40" s="2267"/>
      <c r="AK40" s="2282"/>
      <c r="AL40" s="2285"/>
      <c r="AM40" s="2131"/>
      <c r="AS40" s="1159">
        <v>34</v>
      </c>
    </row>
    <row customHeight="1" ht="35.699999999999996">
      <c r="A41" s="1374"/>
      <c r="B41" s="1374" t="s">
        <v>155</v>
      </c>
      <c r="C41" s="1374" t="s">
        <v>156</v>
      </c>
      <c r="D41" s="1374" t="s">
        <v>157</v>
      </c>
      <c r="E41" s="1368" t="s">
        <v>455</v>
      </c>
      <c r="F41" s="1368" t="s">
        <v>456</v>
      </c>
      <c r="G41" s="1368" t="s">
        <v>457</v>
      </c>
      <c r="H41" s="1368" t="s">
        <v>458</v>
      </c>
      <c r="I41" s="1368" t="s">
        <v>459</v>
      </c>
      <c r="J41" s="1368" t="s">
        <v>460</v>
      </c>
      <c r="K41" s="1368" t="s">
        <v>461</v>
      </c>
      <c r="L41" s="1368" t="s">
        <v>436</v>
      </c>
      <c r="Q41" s="380"/>
      <c r="R41" s="380"/>
      <c r="S41" s="2277"/>
      <c r="T41" s="2213"/>
      <c r="U41" s="306"/>
      <c r="V41" s="2265"/>
      <c r="W41" s="2288"/>
      <c r="X41" s="1226" t="s">
        <v>462</v>
      </c>
      <c r="Y41" s="1226" t="s">
        <v>463</v>
      </c>
      <c r="Z41" s="1342" t="s">
        <v>464</v>
      </c>
      <c r="AA41" s="2274" t="s">
        <v>465</v>
      </c>
      <c r="AB41" s="2275"/>
      <c r="AC41" s="2283"/>
      <c r="AD41" s="2265"/>
      <c r="AE41" s="2288"/>
      <c r="AF41" s="1226" t="s">
        <v>462</v>
      </c>
      <c r="AG41" s="1226" t="s">
        <v>463</v>
      </c>
      <c r="AH41" s="1342" t="s">
        <v>464</v>
      </c>
      <c r="AI41" s="2274" t="s">
        <v>465</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119</v>
      </c>
      <c r="T42" s="1259" t="s">
        <v>103</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206</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143</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206</v>
      </c>
      <c r="B44" s="1367" t="s">
        <v>207</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415</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416</v>
      </c>
      <c r="AO44" s="504"/>
      <c r="AP44" s="504" t="str">
        <f>IF(T44="","",T44)</f>
        <v>Территория действия тарифа</v>
      </c>
      <c r="AQ44" s="504"/>
      <c r="AR44" s="504"/>
      <c r="AS44" s="1159">
        <v>21</v>
      </c>
    </row>
    <row customHeight="1" ht="24">
      <c r="A45" s="1367" t="s">
        <v>206</v>
      </c>
      <c r="B45" s="1367" t="s">
        <v>207</v>
      </c>
      <c r="C45" s="1367" t="s">
        <v>208</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417</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418</v>
      </c>
      <c r="AO45" s="504"/>
      <c r="AP45" s="504" t="str">
        <f>IF(T45="","",T45)</f>
        <v>Наименование системы теплоснабжения </v>
      </c>
      <c r="AQ45" s="504"/>
      <c r="AR45" s="504"/>
      <c r="AS45" s="1159">
        <v>23</v>
      </c>
    </row>
    <row customHeight="1" ht="22.049999999999997">
      <c r="A46" s="1367" t="s">
        <v>206</v>
      </c>
      <c r="B46" s="1367" t="s">
        <v>207</v>
      </c>
      <c r="C46" s="1367" t="s">
        <v>208</v>
      </c>
      <c r="D46" s="1367" t="s">
        <v>209</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419</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420</v>
      </c>
      <c r="AO46" s="504"/>
      <c r="AP46" s="504" t="str">
        <f>IF(T46="","",T46)</f>
        <v>Источник тепловой энергии  </v>
      </c>
      <c r="AQ46" s="504"/>
      <c r="AR46" s="504"/>
      <c r="AS46" s="1159">
        <v>21</v>
      </c>
    </row>
    <row s="1646" customFormat="1" customHeight="1" ht="0">
      <c r="A47" s="1347" t="s">
        <v>206</v>
      </c>
      <c r="B47" s="1347" t="s">
        <v>207</v>
      </c>
      <c r="C47" s="1347" t="s">
        <v>208</v>
      </c>
      <c r="D47" s="1347" t="s">
        <v>209</v>
      </c>
      <c r="E47" s="2263"/>
      <c r="F47" s="2263"/>
      <c r="G47" s="2263"/>
      <c r="H47" s="2263"/>
      <c r="I47" s="2260" t="str">
        <f>S46&amp;".1"</f>
        <v>....1</v>
      </c>
      <c r="J47" s="1347"/>
      <c r="K47" s="1347"/>
      <c r="L47" s="1350" t="s">
        <v>421</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206</v>
      </c>
      <c r="B48" s="1367" t="s">
        <v>207</v>
      </c>
      <c r="C48" s="1367" t="s">
        <v>208</v>
      </c>
      <c r="D48" s="1367" t="s">
        <v>209</v>
      </c>
      <c r="E48" s="2263"/>
      <c r="F48" s="2263"/>
      <c r="G48" s="2263"/>
      <c r="H48" s="2263"/>
      <c r="I48" s="2290"/>
      <c r="J48" s="2260" t="str">
        <f>S46&amp;".1"</f>
        <v>....1</v>
      </c>
      <c r="K48" s="1367"/>
      <c r="L48" s="1368" t="s">
        <v>424</v>
      </c>
      <c r="P48" s="2261"/>
      <c r="Q48" s="2261">
        <v>1</v>
      </c>
      <c r="R48" s="361"/>
      <c r="S48" s="1340" t="str">
        <f>$J48</f>
        <v>....1</v>
      </c>
      <c r="T48" s="290" t="s">
        <v>425</v>
      </c>
      <c r="U48" s="304"/>
      <c r="V48" s="2249"/>
      <c r="W48" s="2250"/>
      <c r="X48" s="2250"/>
      <c r="Y48" s="2250"/>
      <c r="Z48" s="2250"/>
      <c r="AA48" s="2250"/>
      <c r="AB48" s="2250"/>
      <c r="AC48" s="2251"/>
      <c r="AD48" s="2249"/>
      <c r="AE48" s="2250"/>
      <c r="AF48" s="2250"/>
      <c r="AG48" s="2250"/>
      <c r="AH48" s="2250"/>
      <c r="AI48" s="2250"/>
      <c r="AJ48" s="2250"/>
      <c r="AK48" s="2250"/>
      <c r="AL48" s="2251"/>
      <c r="AM48" s="1262" t="s">
        <v>426</v>
      </c>
      <c r="AO48" s="504"/>
      <c r="AP48" s="504" t="str">
        <f>IF(T48="","",T48)</f>
        <v>Группа потребителей</v>
      </c>
      <c r="AQ48" s="504"/>
      <c r="AR48" s="504"/>
      <c r="AS48" s="1159">
        <v>21</v>
      </c>
    </row>
    <row customHeight="1" ht="22.049999999999997">
      <c r="A49" s="1367" t="s">
        <v>206</v>
      </c>
      <c r="B49" s="1367" t="s">
        <v>207</v>
      </c>
      <c r="C49" s="1367" t="s">
        <v>208</v>
      </c>
      <c r="D49" s="1367" t="s">
        <v>209</v>
      </c>
      <c r="E49" s="2263"/>
      <c r="F49" s="2263"/>
      <c r="G49" s="2263"/>
      <c r="H49" s="2263"/>
      <c r="I49" s="2290"/>
      <c r="J49" s="2290"/>
      <c r="K49" s="2260" t="str">
        <f>J48&amp;".1"</f>
        <v>....1.1</v>
      </c>
      <c r="L49" s="1368" t="s">
        <v>427</v>
      </c>
      <c r="P49" s="2261"/>
      <c r="Q49" s="2261"/>
      <c r="R49" s="361">
        <v>1</v>
      </c>
      <c r="S49" s="1340" t="str">
        <f>$K49</f>
        <v>....1.1</v>
      </c>
      <c r="T49" s="1351"/>
      <c r="U49" s="304"/>
      <c r="V49" s="755"/>
      <c r="W49" s="329"/>
      <c r="X49" s="755"/>
      <c r="Y49" s="1261"/>
      <c r="Z49" s="2269"/>
      <c r="AA49" s="2111" t="s">
        <v>62</v>
      </c>
      <c r="AB49" s="2269"/>
      <c r="AC49" s="2111" t="s">
        <v>62</v>
      </c>
      <c r="AD49" s="755"/>
      <c r="AE49" s="329"/>
      <c r="AF49" s="755"/>
      <c r="AG49" s="1261"/>
      <c r="AH49" s="2269"/>
      <c r="AI49" s="2111" t="s">
        <v>62</v>
      </c>
      <c r="AJ49" s="2291"/>
      <c r="AK49" s="2111" t="s">
        <v>62</v>
      </c>
      <c r="AL49" s="1352"/>
      <c r="AM49" s="2257" t="s">
        <v>469</v>
      </c>
      <c r="AN49" s="515">
        <f>STRCHECKDATE(V50:AL50)</f>
      </c>
      <c r="AO49" s="504"/>
      <c r="AP49" s="504" t="str">
        <f>IF(T49="","",T49)</f>
        <v/>
      </c>
      <c r="AQ49" s="504"/>
      <c r="AR49" s="504"/>
      <c r="AS49" s="1159">
        <v>21</v>
      </c>
    </row>
    <row customHeight="1" ht="0">
      <c r="A50" s="1367" t="s">
        <v>206</v>
      </c>
      <c r="B50" s="1367" t="s">
        <v>207</v>
      </c>
      <c r="C50" s="1367" t="s">
        <v>208</v>
      </c>
      <c r="D50" s="1367" t="s">
        <v>209</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0</v>
      </c>
    </row>
    <row customHeight="1" ht="11.549999999999999">
      <c r="A51" s="1367" t="s">
        <v>206</v>
      </c>
      <c r="B51" s="1367" t="s">
        <v>207</v>
      </c>
      <c r="C51" s="1367" t="s">
        <v>208</v>
      </c>
      <c r="D51" s="1367" t="s">
        <v>209</v>
      </c>
      <c r="E51" s="2263"/>
      <c r="F51" s="2263"/>
      <c r="G51" s="2263"/>
      <c r="H51" s="2263"/>
      <c r="I51" s="2290"/>
      <c r="J51" s="2260"/>
      <c r="K51" s="1367"/>
      <c r="L51" s="1368"/>
      <c r="P51" s="2261"/>
      <c r="Q51" s="2261"/>
      <c r="R51" s="360"/>
      <c r="S51" s="1282"/>
      <c r="T51" s="291" t="s">
        <v>429</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206</v>
      </c>
      <c r="B52" s="1367" t="s">
        <v>207</v>
      </c>
      <c r="C52" s="1367" t="s">
        <v>208</v>
      </c>
      <c r="D52" s="1367" t="s">
        <v>209</v>
      </c>
      <c r="E52" s="2263"/>
      <c r="F52" s="2263"/>
      <c r="G52" s="2263"/>
      <c r="H52" s="2263"/>
      <c r="I52" s="2260"/>
      <c r="J52" s="1367"/>
      <c r="K52" s="1367"/>
      <c r="L52" s="1368"/>
      <c r="P52" s="2261"/>
      <c r="Q52" s="1335"/>
      <c r="R52" s="360"/>
      <c r="S52" s="1282"/>
      <c r="T52" s="369" t="s">
        <v>430</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206</v>
      </c>
      <c r="B53" s="1367" t="s">
        <v>207</v>
      </c>
      <c r="C53" s="1367" t="s">
        <v>208</v>
      </c>
      <c r="D53" s="1367" t="s">
        <v>209</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0">
      <c r="A54" s="1347" t="s">
        <v>206</v>
      </c>
      <c r="B54" s="1347" t="s">
        <v>207</v>
      </c>
      <c r="C54" s="1347" t="s">
        <v>208</v>
      </c>
      <c r="D54" s="1318"/>
      <c r="E54" s="2263"/>
      <c r="F54" s="2263"/>
      <c r="G54" s="2262"/>
      <c r="H54" s="1318"/>
      <c r="I54" s="1318"/>
      <c r="J54" s="1318"/>
      <c r="K54" s="1318"/>
      <c r="L54" s="1343"/>
      <c r="M54" s="1319"/>
      <c r="N54" s="1319"/>
      <c r="P54" s="1320"/>
      <c r="Q54" s="1321"/>
      <c r="R54" s="1320"/>
      <c r="S54" s="1326"/>
      <c r="T54" s="1329" t="s">
        <v>432</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0</v>
      </c>
    </row>
    <row s="1646" customFormat="1" customHeight="1" ht="0">
      <c r="A55" s="1347" t="s">
        <v>206</v>
      </c>
      <c r="B55" s="1347" t="s">
        <v>207</v>
      </c>
      <c r="C55" s="1318"/>
      <c r="D55" s="1318"/>
      <c r="E55" s="2263"/>
      <c r="F55" s="2262"/>
      <c r="G55" s="1318"/>
      <c r="H55" s="1318"/>
      <c r="I55" s="1318"/>
      <c r="J55" s="1318"/>
      <c r="K55" s="1318"/>
      <c r="L55" s="1343"/>
      <c r="M55" s="1325"/>
      <c r="N55" s="1325"/>
      <c r="P55" s="1320"/>
      <c r="Q55" s="1321"/>
      <c r="R55" s="1320"/>
      <c r="S55" s="1326"/>
      <c r="T55" s="1329" t="s">
        <v>433</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0</v>
      </c>
    </row>
    <row s="1646" customFormat="1" customHeight="1" ht="0">
      <c r="A56" s="1347" t="s">
        <v>206</v>
      </c>
      <c r="B56" s="1347"/>
      <c r="C56" s="1347"/>
      <c r="D56" s="1347"/>
      <c r="E56" s="2262"/>
      <c r="F56" s="1347"/>
      <c r="G56" s="1347"/>
      <c r="H56" s="1347"/>
      <c r="I56" s="1347"/>
      <c r="J56" s="1347"/>
      <c r="K56" s="1347"/>
      <c r="L56" s="1350"/>
      <c r="M56" s="1325"/>
      <c r="N56" s="1325"/>
      <c r="O56" s="522"/>
      <c r="P56" s="384"/>
      <c r="Q56" s="1348"/>
      <c r="R56" s="384"/>
      <c r="S56" s="1326"/>
      <c r="T56" s="1329" t="s">
        <v>434</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0</v>
      </c>
    </row>
    <row s="1646" customFormat="1" customHeight="1" ht="4.2">
      <c r="A57" s="1318"/>
      <c r="B57" s="1318"/>
      <c r="C57" s="1318"/>
      <c r="D57" s="1318"/>
      <c r="E57" s="1347"/>
      <c r="F57" s="1318"/>
      <c r="G57" s="1318"/>
      <c r="H57" s="1318"/>
      <c r="I57" s="1318"/>
      <c r="J57" s="1318"/>
      <c r="K57" s="1318"/>
      <c r="L57" s="1343"/>
      <c r="M57" s="1325"/>
      <c r="N57" s="1325"/>
      <c r="P57" s="1320"/>
      <c r="Q57" s="1321"/>
      <c r="R57" s="1320"/>
      <c r="S57" s="1326"/>
      <c r="T57" s="1329" t="s">
        <v>466</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4</v>
      </c>
    </row>
    <row customHeight="1" ht="11.549999999999999">
      <c r="M58" s="1164"/>
      <c r="N58" s="1164"/>
      <c r="O58" s="541"/>
      <c r="P58" s="1159"/>
      <c r="Q58" s="1159"/>
      <c r="R58" s="1159"/>
      <c r="S58" s="1159"/>
      <c r="AN58" s="1159"/>
      <c r="AO58" s="1159"/>
      <c r="AP58" s="1159"/>
      <c r="AQ58" s="1159"/>
      <c r="AR58" s="1159"/>
      <c r="AS58" s="1159">
        <v>11</v>
      </c>
    </row>
    <row customHeight="1" ht="14.699999999999998">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14</v>
      </c>
    </row>
    <row customHeight="1" ht="14.699999999999998">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14</v>
      </c>
    </row>
    <row customHeight="1" ht="14.699999999999998">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14</v>
      </c>
    </row>
    <row customHeight="1" ht="14.699999999999998">
      <c r="O62" s="541"/>
      <c r="AS62" s="1159">
        <v>14</v>
      </c>
    </row>
    <row customHeight="1" ht="14.699999999999998">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14</v>
      </c>
    </row>
    <row customHeight="1" ht="14.699999999999998">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14</v>
      </c>
    </row>
    <row customHeight="1" ht="14.699999999999998">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14</v>
      </c>
    </row>
    <row customHeight="1" ht="22.5" hidden="1">
      <c r="A66" s="1164" t="s">
        <v>82</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D260C5-69DD-BD71-7FE9-365503DD3ADF}"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2" style="1639" width="11.421875" hidden="1" customWidth="1"/>
    <col min="13" max="13" style="2129" width="19.140625" hidden="1" customWidth="1"/>
    <col min="14" max="15" style="2401" width="12.28125" hidden="1" customWidth="1"/>
    <col min="16" max="16" style="2401" width="23.421875" hidden="1" customWidth="1"/>
    <col min="17" max="17" style="2401" width="3.7109375" hidden="1" customWidth="1"/>
    <col min="18" max="20" style="348" width="3.00390625" customWidth="1"/>
    <col min="21" max="21" style="2411" width="12.00390625" customWidth="1"/>
    <col min="22" max="22" style="1639" width="31.00390625" customWidth="1"/>
    <col min="23" max="23" style="1639" width="0.140625" customWidth="1"/>
    <col min="24" max="28" style="1639" width="21.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21.7109375" customWidth="1"/>
    <col min="34" max="37" style="1639" width="21.00390625" customWidth="1"/>
    <col min="38" max="38" style="1639" width="11.00390625" customWidth="1"/>
    <col min="39" max="39" style="1639" width="3.7109375" customWidth="1"/>
    <col min="40" max="40" style="1639" width="11.00390625" customWidth="1"/>
    <col min="41" max="41" style="1639" width="8.57421875" hidden="1" customWidth="1"/>
    <col min="42" max="42" style="1639" width="4.00390625" customWidth="1"/>
    <col min="43" max="43" style="1639" width="115.00390625" customWidth="1"/>
    <col min="44" max="48" style="1646" width="10.00390625" customWidth="1"/>
    <col min="49" max="49" style="1639" width="10.57421875" hidden="1"/>
  </cols>
  <sheetData>
    <row customHeight="1" ht="22.5" hidden="1">
      <c r="AB1" s="331"/>
      <c r="AC1" s="331"/>
      <c r="AK1" s="331"/>
      <c r="AL1" s="331"/>
      <c r="AW1" s="1159" t="s">
        <v>14</v>
      </c>
    </row>
    <row customHeight="1" ht="21" hidden="1">
      <c r="A2" s="1271"/>
      <c r="B2" s="1271"/>
      <c r="C2" s="1271"/>
      <c r="D2" s="1271"/>
      <c r="E2" s="2293">
        <v>1</v>
      </c>
      <c r="F2" s="1271"/>
      <c r="G2" s="1271"/>
      <c r="H2" s="1271"/>
      <c r="I2" s="1271"/>
      <c r="J2" s="1271"/>
      <c r="K2" s="1271"/>
      <c r="L2" s="1271"/>
      <c r="M2" s="1314"/>
      <c r="N2" s="692"/>
      <c r="O2" s="692"/>
      <c r="P2" s="692"/>
      <c r="Q2" s="365"/>
      <c r="R2" s="364"/>
      <c r="S2" s="364"/>
      <c r="T2" s="359"/>
      <c r="U2" s="1340">
        <f>INDEX(PT_DIFFERENTIATION_NUM_NTAR,MATCH(A2,PT_DIFFERENTIATION_NTAR_ID,0))</f>
      </c>
      <c r="V2" s="302" t="s">
        <v>143</v>
      </c>
      <c r="W2" s="304"/>
      <c r="X2" s="2246"/>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8"/>
      <c r="AQ2" s="1262" t="s">
        <v>414</v>
      </c>
      <c r="AS2" s="504"/>
      <c r="AT2" s="504" t="str">
        <f>IF(V2="","",V2)</f>
        <v>Наименование тарифа</v>
      </c>
      <c r="AU2" s="504"/>
      <c r="AV2" s="504"/>
      <c r="AW2" s="1159">
        <v>0</v>
      </c>
    </row>
    <row customHeight="1" ht="21" hidden="1">
      <c r="A3" s="1271"/>
      <c r="B3" s="1271"/>
      <c r="C3" s="1271"/>
      <c r="D3" s="1271"/>
      <c r="E3" s="2294"/>
      <c r="F3" s="2293">
        <v>1</v>
      </c>
      <c r="G3" s="1271"/>
      <c r="H3" s="1271"/>
      <c r="I3" s="1271"/>
      <c r="J3" s="1271"/>
      <c r="K3" s="1271"/>
      <c r="L3" s="1271"/>
      <c r="M3" s="1314"/>
      <c r="N3" s="692"/>
      <c r="O3" s="692"/>
      <c r="P3" s="692"/>
      <c r="Q3" s="1336"/>
      <c r="R3" s="356"/>
      <c r="S3" s="513"/>
      <c r="T3" s="357"/>
      <c r="U3" s="1340">
        <f>INDEX(PT_DIFFERENTIATION_NUM_TER,MATCH(B3,PT_DIFFERENTIATION_TER_ID,0))</f>
      </c>
      <c r="V3" s="312" t="s">
        <v>415</v>
      </c>
      <c r="W3" s="304"/>
      <c r="X3" s="2246"/>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8"/>
      <c r="AQ3" s="1262" t="s">
        <v>416</v>
      </c>
      <c r="AS3" s="504"/>
      <c r="AT3" s="504" t="str">
        <f>IF(V3="","",V3)</f>
        <v>Территория действия тарифа</v>
      </c>
      <c r="AU3" s="504"/>
      <c r="AV3" s="504"/>
      <c r="AW3" s="1159">
        <v>0</v>
      </c>
    </row>
    <row customHeight="1" ht="22.5" hidden="1">
      <c r="A4" s="1271"/>
      <c r="B4" s="1271"/>
      <c r="C4" s="1271"/>
      <c r="D4" s="1271"/>
      <c r="E4" s="2294"/>
      <c r="F4" s="2294"/>
      <c r="G4" s="2293">
        <v>1</v>
      </c>
      <c r="H4" s="1271"/>
      <c r="I4" s="1271"/>
      <c r="J4" s="1271"/>
      <c r="K4" s="1271"/>
      <c r="L4" s="1271"/>
      <c r="M4" s="1314"/>
      <c r="N4" s="692"/>
      <c r="O4" s="692"/>
      <c r="P4" s="692"/>
      <c r="Q4" s="358"/>
      <c r="R4" s="356"/>
      <c r="S4" s="513"/>
      <c r="T4" s="357"/>
      <c r="U4" s="1340">
        <f>INDEX(PT_DIFFERENTIATION_NUM_CS,MATCH(C4,PT_DIFFERENTIATION_CS_ID,0))</f>
      </c>
      <c r="V4" s="313" t="s">
        <v>417</v>
      </c>
      <c r="W4" s="304"/>
      <c r="X4" s="2246"/>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8"/>
      <c r="AQ4" s="1262" t="s">
        <v>418</v>
      </c>
      <c r="AS4" s="504"/>
      <c r="AT4" s="504" t="str">
        <f>IF(V4="","",V4)</f>
        <v>Наименование системы теплоснабжения </v>
      </c>
      <c r="AU4" s="504"/>
      <c r="AV4" s="504"/>
      <c r="AW4" s="1159">
        <v>0</v>
      </c>
    </row>
    <row customHeight="1" ht="21" hidden="1">
      <c r="A5" s="1271"/>
      <c r="B5" s="1271"/>
      <c r="C5" s="1271"/>
      <c r="D5" s="1271"/>
      <c r="E5" s="2294"/>
      <c r="F5" s="2294"/>
      <c r="G5" s="2294"/>
      <c r="H5" s="2293">
        <v>1</v>
      </c>
      <c r="I5" s="1271"/>
      <c r="J5" s="1271"/>
      <c r="K5" s="1271"/>
      <c r="L5" s="1271"/>
      <c r="M5" s="1314"/>
      <c r="N5" s="692"/>
      <c r="O5" s="692"/>
      <c r="P5" s="692"/>
      <c r="Q5" s="358"/>
      <c r="R5" s="356"/>
      <c r="S5" s="513"/>
      <c r="T5" s="357"/>
      <c r="U5" s="1340">
        <f>INDEX(PT_DIFFERENTIATION_NUM_IST_TE,MATCH(D5,PT_DIFFERENTIATION_IST_TE_ID,0))</f>
      </c>
      <c r="V5" s="314" t="s">
        <v>419</v>
      </c>
      <c r="W5" s="304"/>
      <c r="X5" s="2246"/>
      <c r="Y5" s="2247"/>
      <c r="Z5" s="2247"/>
      <c r="AA5" s="2247"/>
      <c r="AB5" s="2247"/>
      <c r="AC5" s="2247"/>
      <c r="AD5" s="2247"/>
      <c r="AE5" s="2247"/>
      <c r="AF5" s="2248"/>
      <c r="AG5" s="2246">
        <f>INDEX(PT_DIFFERENTIATION_IST_TE,MATCH(D5,PT_DIFFERENTIATION_IST_TE_ID,0))</f>
      </c>
      <c r="AH5" s="2247"/>
      <c r="AI5" s="2247"/>
      <c r="AJ5" s="2247"/>
      <c r="AK5" s="2247"/>
      <c r="AL5" s="2247"/>
      <c r="AM5" s="2247"/>
      <c r="AN5" s="2247"/>
      <c r="AO5" s="2247"/>
      <c r="AP5" s="2248"/>
      <c r="AQ5" s="1262" t="s">
        <v>420</v>
      </c>
      <c r="AS5" s="504"/>
      <c r="AT5" s="504" t="str">
        <f>IF(V5="","",V5)</f>
        <v>Источник тепловой энергии  </v>
      </c>
      <c r="AU5" s="504"/>
      <c r="AV5" s="504"/>
      <c r="AW5" s="1159">
        <v>0</v>
      </c>
    </row>
    <row customHeight="1" ht="14.25" hidden="1">
      <c r="A6" s="1271"/>
      <c r="B6" s="1271"/>
      <c r="C6" s="1271"/>
      <c r="D6" s="1271"/>
      <c r="E6" s="2294"/>
      <c r="F6" s="2294"/>
      <c r="G6" s="2294"/>
      <c r="H6" s="2294"/>
      <c r="I6" s="2131">
        <f>U5&amp;".1"</f>
      </c>
      <c r="J6" s="1271"/>
      <c r="K6" s="1271"/>
      <c r="L6" s="1271"/>
      <c r="M6" s="1314" t="s">
        <v>421</v>
      </c>
      <c r="N6" s="513"/>
      <c r="Q6" s="2261">
        <v>1</v>
      </c>
      <c r="R6" s="1335"/>
      <c r="S6" s="1335"/>
      <c r="T6" s="360"/>
      <c r="U6" s="1046"/>
      <c r="V6" s="1387"/>
      <c r="W6" s="1388"/>
      <c r="X6" s="2300"/>
      <c r="Y6" s="2301"/>
      <c r="Z6" s="2301"/>
      <c r="AA6" s="2301"/>
      <c r="AB6" s="2301"/>
      <c r="AC6" s="2301"/>
      <c r="AD6" s="2301"/>
      <c r="AE6" s="2301"/>
      <c r="AF6" s="2302"/>
      <c r="AG6" s="2300"/>
      <c r="AH6" s="2301"/>
      <c r="AI6" s="2301"/>
      <c r="AJ6" s="2301"/>
      <c r="AK6" s="2301"/>
      <c r="AL6" s="2301"/>
      <c r="AM6" s="2301"/>
      <c r="AN6" s="2301"/>
      <c r="AO6" s="2301"/>
      <c r="AP6" s="2302"/>
      <c r="AQ6" s="1389"/>
      <c r="AS6" s="504"/>
      <c r="AT6" s="504" t="str">
        <f>IF(V6="","",V6)</f>
        <v/>
      </c>
      <c r="AU6" s="504"/>
      <c r="AV6" s="504"/>
      <c r="AW6" s="1159">
        <v>0</v>
      </c>
    </row>
    <row customHeight="1" ht="21" hidden="1">
      <c r="A7" s="1271"/>
      <c r="B7" s="1271"/>
      <c r="C7" s="1271"/>
      <c r="D7" s="1271"/>
      <c r="E7" s="2294"/>
      <c r="F7" s="2294"/>
      <c r="G7" s="2294"/>
      <c r="H7" s="2294"/>
      <c r="I7" s="2105"/>
      <c r="J7" s="2131">
        <f>I6&amp;".1"</f>
      </c>
      <c r="K7" s="1271"/>
      <c r="L7" s="1271"/>
      <c r="M7" s="1314" t="s">
        <v>424</v>
      </c>
      <c r="N7" s="513"/>
      <c r="O7" s="331"/>
      <c r="Q7" s="2261"/>
      <c r="R7" s="2261">
        <v>1</v>
      </c>
      <c r="S7" s="522"/>
      <c r="T7" s="361"/>
      <c r="U7" s="1340">
        <f>$J7</f>
      </c>
      <c r="V7" s="290" t="s">
        <v>425</v>
      </c>
      <c r="W7" s="304"/>
      <c r="X7" s="2249"/>
      <c r="Y7" s="2250"/>
      <c r="Z7" s="2250"/>
      <c r="AA7" s="2250"/>
      <c r="AB7" s="2250"/>
      <c r="AC7" s="2239"/>
      <c r="AD7" s="2239"/>
      <c r="AE7" s="2239"/>
      <c r="AF7" s="2312"/>
      <c r="AG7" s="2249"/>
      <c r="AH7" s="2250"/>
      <c r="AI7" s="2250"/>
      <c r="AJ7" s="2250"/>
      <c r="AK7" s="2250"/>
      <c r="AL7" s="2250"/>
      <c r="AM7" s="2250"/>
      <c r="AN7" s="2250"/>
      <c r="AO7" s="2250"/>
      <c r="AP7" s="2251"/>
      <c r="AQ7" s="1262" t="s">
        <v>426</v>
      </c>
      <c r="AS7" s="504"/>
      <c r="AT7" s="504" t="str">
        <f>IF(V7="","",V7)</f>
        <v>Группа потребителей</v>
      </c>
      <c r="AU7" s="504"/>
      <c r="AV7" s="504"/>
      <c r="AW7" s="1159">
        <v>0</v>
      </c>
    </row>
    <row customHeight="1" ht="21" hidden="1">
      <c r="A8" s="1271"/>
      <c r="B8" s="1271"/>
      <c r="C8" s="1271"/>
      <c r="D8" s="1271"/>
      <c r="E8" s="2294"/>
      <c r="F8" s="2294"/>
      <c r="G8" s="2294"/>
      <c r="H8" s="2294"/>
      <c r="I8" s="2105"/>
      <c r="J8" s="2105"/>
      <c r="K8" s="2131">
        <f>J7&amp;".1"</f>
      </c>
      <c r="L8" s="143"/>
      <c r="M8" s="1314" t="s">
        <v>427</v>
      </c>
      <c r="N8" s="513"/>
      <c r="O8" s="331"/>
      <c r="P8" s="331"/>
      <c r="Q8" s="2261"/>
      <c r="R8" s="2261"/>
      <c r="S8" s="2261">
        <v>1</v>
      </c>
      <c r="T8" s="361"/>
      <c r="U8" s="1340">
        <f>$K8</f>
      </c>
      <c r="V8" s="1351"/>
      <c r="W8" s="304"/>
      <c r="X8" s="755"/>
      <c r="Y8" s="755"/>
      <c r="Z8" s="755"/>
      <c r="AA8" s="755"/>
      <c r="AB8" s="1409"/>
      <c r="AC8" s="2269"/>
      <c r="AD8" s="2111" t="s">
        <v>62</v>
      </c>
      <c r="AE8" s="2269"/>
      <c r="AF8" s="2111" t="s">
        <v>62</v>
      </c>
      <c r="AG8" s="1411"/>
      <c r="AH8" s="755"/>
      <c r="AI8" s="755"/>
      <c r="AJ8" s="755"/>
      <c r="AK8" s="1261"/>
      <c r="AL8" s="2269"/>
      <c r="AM8" s="2111" t="s">
        <v>62</v>
      </c>
      <c r="AN8" s="2269"/>
      <c r="AO8" s="2111" t="s">
        <v>62</v>
      </c>
      <c r="AP8" s="329"/>
      <c r="AQ8" s="1311" t="s">
        <v>470</v>
      </c>
      <c r="AR8" s="515">
        <f>STRCHECKDATE(X10:AP10)</f>
      </c>
      <c r="AS8" s="504"/>
      <c r="AT8" s="504" t="str">
        <f>IF(V8="","",V8)</f>
        <v/>
      </c>
      <c r="AU8" s="504"/>
      <c r="AV8" s="504"/>
      <c r="AW8" s="1159">
        <v>0</v>
      </c>
    </row>
    <row customHeight="1" ht="21" hidden="1">
      <c r="A9" s="1271"/>
      <c r="B9" s="1271"/>
      <c r="C9" s="1271"/>
      <c r="D9" s="1271"/>
      <c r="E9" s="2294"/>
      <c r="F9" s="2294"/>
      <c r="G9" s="2294"/>
      <c r="H9" s="2294"/>
      <c r="I9" s="2105"/>
      <c r="J9" s="2105"/>
      <c r="K9" s="2105"/>
      <c r="L9" s="2131">
        <f>K8&amp;".1"</f>
      </c>
      <c r="M9" s="1314"/>
      <c r="N9" s="513"/>
      <c r="O9" s="331"/>
      <c r="P9" s="331"/>
      <c r="Q9" s="2261"/>
      <c r="R9" s="2261"/>
      <c r="S9" s="2261"/>
      <c r="T9" s="361"/>
      <c r="U9" s="1340">
        <f>$L9</f>
      </c>
      <c r="V9" s="1395"/>
      <c r="W9" s="304"/>
      <c r="X9" s="329"/>
      <c r="Y9" s="755"/>
      <c r="Z9" s="755"/>
      <c r="AA9" s="755"/>
      <c r="AB9" s="1409"/>
      <c r="AC9" s="2313"/>
      <c r="AD9" s="2111"/>
      <c r="AE9" s="2313"/>
      <c r="AF9" s="2111"/>
      <c r="AG9" s="1411"/>
      <c r="AH9" s="755"/>
      <c r="AI9" s="755"/>
      <c r="AJ9" s="755"/>
      <c r="AK9" s="1261"/>
      <c r="AL9" s="2313"/>
      <c r="AM9" s="2111"/>
      <c r="AN9" s="2313"/>
      <c r="AO9" s="2111"/>
      <c r="AP9" s="329"/>
      <c r="AQ9" s="2257" t="s">
        <v>471</v>
      </c>
      <c r="AS9" s="504"/>
      <c r="AT9" s="504"/>
      <c r="AU9" s="504"/>
      <c r="AV9" s="504"/>
      <c r="AW9" s="1159">
        <v>0</v>
      </c>
    </row>
    <row customHeight="1" ht="14.25" hidden="1">
      <c r="A10" s="1271"/>
      <c r="B10" s="1271"/>
      <c r="C10" s="1271"/>
      <c r="D10" s="1271"/>
      <c r="E10" s="2294"/>
      <c r="F10" s="2294"/>
      <c r="G10" s="2294"/>
      <c r="H10" s="2294"/>
      <c r="I10" s="2105"/>
      <c r="J10" s="2105"/>
      <c r="K10" s="2105"/>
      <c r="L10" s="2131"/>
      <c r="M10" s="1314"/>
      <c r="N10" s="513"/>
      <c r="O10" s="331"/>
      <c r="P10" s="331"/>
      <c r="Q10" s="2261"/>
      <c r="R10" s="2261"/>
      <c r="S10" s="2261"/>
      <c r="T10" s="361"/>
      <c r="U10" s="1346"/>
      <c r="V10" s="304"/>
      <c r="W10" s="304"/>
      <c r="X10" s="329"/>
      <c r="Y10" s="329"/>
      <c r="Z10" s="329"/>
      <c r="AA10" s="329"/>
      <c r="AB10" s="1410" t="str">
        <f>AC8&amp;"-"&amp;AE8</f>
        <v>-</v>
      </c>
      <c r="AC10" s="2313"/>
      <c r="AD10" s="2111"/>
      <c r="AE10" s="2313"/>
      <c r="AF10" s="2111"/>
      <c r="AG10" s="1386"/>
      <c r="AH10" s="329"/>
      <c r="AI10" s="329"/>
      <c r="AJ10" s="329"/>
      <c r="AK10" s="332" t="str">
        <f>AL8&amp;"-"&amp;AN8</f>
        <v>-</v>
      </c>
      <c r="AL10" s="2313"/>
      <c r="AM10" s="2111"/>
      <c r="AN10" s="2313"/>
      <c r="AO10" s="2111"/>
      <c r="AP10" s="329"/>
      <c r="AQ10" s="2258"/>
      <c r="AS10" s="504"/>
      <c r="AT10" s="504" t="str">
        <f>IF(V10="","",V10)</f>
        <v/>
      </c>
      <c r="AU10" s="504"/>
      <c r="AV10" s="504"/>
      <c r="AW10" s="1159">
        <v>0</v>
      </c>
    </row>
    <row customHeight="1" ht="11.25" hidden="1">
      <c r="A11" s="1271"/>
      <c r="B11" s="1271"/>
      <c r="C11" s="1271"/>
      <c r="D11" s="1271"/>
      <c r="E11" s="2294"/>
      <c r="F11" s="2294"/>
      <c r="G11" s="2294"/>
      <c r="H11" s="2294"/>
      <c r="I11" s="2105"/>
      <c r="J11" s="2105"/>
      <c r="K11" s="2131"/>
      <c r="L11" s="1271"/>
      <c r="M11" s="1314"/>
      <c r="N11" s="513"/>
      <c r="O11" s="331"/>
      <c r="P11" s="331"/>
      <c r="Q11" s="2261"/>
      <c r="R11" s="2261"/>
      <c r="S11" s="2261"/>
      <c r="T11" s="361"/>
      <c r="U11" s="1282"/>
      <c r="V11" s="292" t="s">
        <v>472</v>
      </c>
      <c r="W11" s="1396"/>
      <c r="X11" s="1397"/>
      <c r="Y11" s="1397"/>
      <c r="Z11" s="1397"/>
      <c r="AA11" s="1397"/>
      <c r="AB11" s="1398"/>
      <c r="AC11" s="2313"/>
      <c r="AD11" s="2111"/>
      <c r="AE11" s="2313"/>
      <c r="AF11" s="2111"/>
      <c r="AG11" s="1397"/>
      <c r="AH11" s="1397"/>
      <c r="AI11" s="1397"/>
      <c r="AJ11" s="1397"/>
      <c r="AK11" s="1398"/>
      <c r="AL11" s="2313"/>
      <c r="AM11" s="2111"/>
      <c r="AN11" s="2313"/>
      <c r="AO11" s="2111"/>
      <c r="AP11" s="1399"/>
      <c r="AQ11" s="2258"/>
      <c r="AS11" s="504"/>
      <c r="AT11" s="504"/>
      <c r="AU11" s="504"/>
      <c r="AV11" s="504"/>
      <c r="AW11" s="1159">
        <v>0</v>
      </c>
    </row>
    <row customHeight="1" ht="15" hidden="1">
      <c r="A12" s="1271"/>
      <c r="B12" s="1271"/>
      <c r="C12" s="1271"/>
      <c r="D12" s="1271"/>
      <c r="E12" s="2294"/>
      <c r="F12" s="2294"/>
      <c r="G12" s="2294"/>
      <c r="H12" s="2294"/>
      <c r="I12" s="2105"/>
      <c r="J12" s="2131"/>
      <c r="K12" s="1271"/>
      <c r="L12" s="1271"/>
      <c r="M12" s="1314"/>
      <c r="N12" s="513"/>
      <c r="O12" s="331"/>
      <c r="Q12" s="2261"/>
      <c r="R12" s="2261"/>
      <c r="S12" s="1335"/>
      <c r="T12" s="360"/>
      <c r="U12" s="1282"/>
      <c r="V12" s="291" t="s">
        <v>429</v>
      </c>
      <c r="W12" s="371"/>
      <c r="X12" s="371"/>
      <c r="Y12" s="371"/>
      <c r="Z12" s="371"/>
      <c r="AA12" s="371"/>
      <c r="AB12" s="371"/>
      <c r="AC12" s="1412"/>
      <c r="AD12" s="1412"/>
      <c r="AE12" s="1412"/>
      <c r="AF12" s="1412"/>
      <c r="AG12" s="371"/>
      <c r="AH12" s="371"/>
      <c r="AI12" s="371"/>
      <c r="AJ12" s="371"/>
      <c r="AK12" s="371"/>
      <c r="AL12" s="371"/>
      <c r="AM12" s="371"/>
      <c r="AN12" s="371"/>
      <c r="AO12" s="371"/>
      <c r="AP12" s="328"/>
      <c r="AQ12" s="2259"/>
      <c r="AS12" s="504"/>
      <c r="AT12" s="504" t="str">
        <f>IF(V12="","",V12)</f>
        <v>Добавить вид теплоносителя (параметры теплоносителя)</v>
      </c>
      <c r="AU12" s="504"/>
      <c r="AV12" s="504"/>
      <c r="AW12" s="1159">
        <v>0</v>
      </c>
    </row>
    <row customHeight="1" ht="11.25" hidden="1">
      <c r="A13" s="1271"/>
      <c r="B13" s="1271"/>
      <c r="C13" s="1271"/>
      <c r="D13" s="1271"/>
      <c r="E13" s="2294"/>
      <c r="F13" s="2294"/>
      <c r="G13" s="2294"/>
      <c r="H13" s="2294"/>
      <c r="I13" s="2131"/>
      <c r="J13" s="1271"/>
      <c r="K13" s="1271"/>
      <c r="L13" s="1271"/>
      <c r="M13" s="1314"/>
      <c r="N13" s="513"/>
      <c r="Q13" s="2261"/>
      <c r="R13" s="1335"/>
      <c r="S13" s="1335"/>
      <c r="T13" s="360"/>
      <c r="U13" s="1282"/>
      <c r="V13" s="369" t="s">
        <v>430</v>
      </c>
      <c r="W13" s="371"/>
      <c r="X13" s="371"/>
      <c r="Y13" s="371"/>
      <c r="Z13" s="371"/>
      <c r="AA13" s="371"/>
      <c r="AB13" s="371"/>
      <c r="AC13" s="371"/>
      <c r="AD13" s="371"/>
      <c r="AE13" s="371"/>
      <c r="AF13" s="370"/>
      <c r="AG13" s="371"/>
      <c r="AH13" s="371"/>
      <c r="AI13" s="371"/>
      <c r="AJ13" s="371"/>
      <c r="AK13" s="371"/>
      <c r="AL13" s="371"/>
      <c r="AM13" s="371"/>
      <c r="AN13" s="371"/>
      <c r="AO13" s="370"/>
      <c r="AP13" s="371"/>
      <c r="AQ13" s="307"/>
      <c r="AS13" s="504"/>
      <c r="AT13" s="504" t="str">
        <f>IF(V13="","",V13)</f>
        <v>Добавить группу потребителей</v>
      </c>
      <c r="AU13" s="504"/>
      <c r="AV13" s="504"/>
      <c r="AW13" s="1159">
        <v>0</v>
      </c>
    </row>
    <row customHeight="1" ht="14.25" hidden="1">
      <c r="A14" s="1271"/>
      <c r="B14" s="1271"/>
      <c r="C14" s="1271"/>
      <c r="D14" s="1271"/>
      <c r="E14" s="2294"/>
      <c r="F14" s="2294"/>
      <c r="G14" s="2294"/>
      <c r="H14" s="2293"/>
      <c r="I14" s="1271"/>
      <c r="J14" s="1271"/>
      <c r="K14" s="1271"/>
      <c r="L14" s="1271"/>
      <c r="M14" s="1314"/>
      <c r="N14" s="692"/>
      <c r="O14" s="692"/>
      <c r="P14" s="513"/>
      <c r="Q14" s="364"/>
      <c r="R14" s="379"/>
      <c r="S14" s="359"/>
      <c r="T14" s="364"/>
      <c r="U14" s="1390"/>
      <c r="V14" s="1391"/>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3"/>
      <c r="AS14" s="504"/>
      <c r="AT14" s="504" t="str">
        <f>IF(V14="","",V14)</f>
        <v/>
      </c>
      <c r="AU14" s="504"/>
      <c r="AV14" s="504"/>
      <c r="AW14" s="1159">
        <v>0</v>
      </c>
    </row>
    <row s="1646" customFormat="1" customHeight="1" ht="14.25" hidden="1">
      <c r="A15" s="1378"/>
      <c r="B15" s="1378"/>
      <c r="C15" s="1378"/>
      <c r="D15" s="1378"/>
      <c r="E15" s="2294"/>
      <c r="F15" s="2294"/>
      <c r="G15" s="2293"/>
      <c r="H15" s="1378"/>
      <c r="I15" s="1378"/>
      <c r="J15" s="1378"/>
      <c r="K15" s="1378"/>
      <c r="L15" s="1378"/>
      <c r="M15" s="1381"/>
      <c r="N15" s="1382"/>
      <c r="O15" s="1382"/>
      <c r="P15" s="355"/>
      <c r="Q15" s="1320"/>
      <c r="R15" s="1321"/>
      <c r="S15" s="1320"/>
      <c r="T15" s="1320"/>
      <c r="U15" s="1322"/>
      <c r="V15" s="1323" t="s">
        <v>432</v>
      </c>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S15" s="793"/>
      <c r="AT15" s="793" t="str">
        <f>IF(V15="","",V15)</f>
        <v>Добавить источник для дифференциации</v>
      </c>
      <c r="AU15" s="793"/>
      <c r="AV15" s="793"/>
      <c r="AW15" s="522">
        <v>0</v>
      </c>
    </row>
    <row s="1646" customFormat="1" customHeight="1" ht="14.25" hidden="1">
      <c r="A16" s="1378"/>
      <c r="B16" s="1378"/>
      <c r="C16" s="1378"/>
      <c r="D16" s="1378"/>
      <c r="E16" s="2294"/>
      <c r="F16" s="2293"/>
      <c r="G16" s="1378"/>
      <c r="H16" s="1378"/>
      <c r="I16" s="1378"/>
      <c r="J16" s="1378"/>
      <c r="K16" s="1378"/>
      <c r="L16" s="1378"/>
      <c r="M16" s="1381"/>
      <c r="N16" s="1383"/>
      <c r="O16" s="1383"/>
      <c r="P16" s="355"/>
      <c r="Q16" s="1320"/>
      <c r="R16" s="1321"/>
      <c r="S16" s="1320"/>
      <c r="T16" s="1320"/>
      <c r="U16" s="1326"/>
      <c r="V16" s="1327" t="s">
        <v>433</v>
      </c>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S16" s="793"/>
      <c r="AT16" s="793" t="str">
        <f>IF(V16="","",V16)</f>
        <v>Добавить централизованную систему для дифференциации</v>
      </c>
      <c r="AU16" s="793"/>
      <c r="AV16" s="793"/>
      <c r="AW16" s="522">
        <v>0</v>
      </c>
    </row>
    <row s="1646" customFormat="1" customHeight="1" ht="14.25" hidden="1">
      <c r="A17" s="1378"/>
      <c r="B17" s="1378"/>
      <c r="C17" s="1378"/>
      <c r="D17" s="1378"/>
      <c r="E17" s="2293"/>
      <c r="F17" s="1378"/>
      <c r="G17" s="1378"/>
      <c r="H17" s="1378"/>
      <c r="I17" s="1378"/>
      <c r="J17" s="1378"/>
      <c r="K17" s="1378"/>
      <c r="L17" s="1378"/>
      <c r="M17" s="1381"/>
      <c r="N17" s="1383"/>
      <c r="O17" s="1383"/>
      <c r="P17" s="355"/>
      <c r="Q17" s="1320"/>
      <c r="R17" s="1321"/>
      <c r="S17" s="1320"/>
      <c r="T17" s="1320"/>
      <c r="U17" s="1326"/>
      <c r="V17" s="1329" t="s">
        <v>434</v>
      </c>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S17" s="793"/>
      <c r="AT17" s="793" t="str">
        <f>IF(V17="","",V17)</f>
        <v>Добавить территорию для дифференциации</v>
      </c>
      <c r="AU17" s="793"/>
      <c r="AV17" s="793"/>
      <c r="AW17" s="522">
        <v>0</v>
      </c>
    </row>
    <row customHeight="1" ht="14.25" hidden="1">
      <c r="AF18" s="331"/>
      <c r="AO18" s="331"/>
      <c r="AW18" s="1159">
        <v>0</v>
      </c>
    </row>
    <row customHeight="1" ht="14.25" hidden="1">
      <c r="AG19" s="1364"/>
      <c r="AH19" s="1364"/>
      <c r="AI19" s="1364"/>
      <c r="AJ19" s="1364"/>
      <c r="AK19" s="1365"/>
      <c r="AL19" s="2271"/>
      <c r="AM19" s="2272" t="s">
        <v>62</v>
      </c>
      <c r="AN19" s="2271"/>
      <c r="AO19" s="2272" t="s">
        <v>62</v>
      </c>
      <c r="AW19" s="1159">
        <v>0</v>
      </c>
    </row>
    <row customHeight="1" ht="14.25" hidden="1">
      <c r="AG20" s="1364"/>
      <c r="AH20" s="1364"/>
      <c r="AI20" s="1364"/>
      <c r="AJ20" s="1364"/>
      <c r="AK20" s="1365"/>
      <c r="AL20" s="2271"/>
      <c r="AM20" s="2272"/>
      <c r="AN20" s="2271"/>
      <c r="AO20" s="2272"/>
      <c r="AW20" s="1159">
        <v>0</v>
      </c>
    </row>
    <row customHeight="1" ht="14.25" hidden="1">
      <c r="AG21" s="1364"/>
      <c r="AH21" s="1364"/>
      <c r="AI21" s="1364"/>
      <c r="AJ21" s="1364"/>
      <c r="AK21" s="1365"/>
      <c r="AL21" s="2271"/>
      <c r="AM21" s="2272"/>
      <c r="AN21" s="2271"/>
      <c r="AO21" s="2272"/>
      <c r="AW21" s="1159">
        <v>0</v>
      </c>
    </row>
    <row customHeight="1" ht="14.25" hidden="1">
      <c r="AG22" s="1364"/>
      <c r="AH22" s="1364"/>
      <c r="AI22" s="1364"/>
      <c r="AJ22" s="1364"/>
      <c r="AK22" s="332" t="str">
        <f>AL19&amp;"-"&amp;AN19</f>
        <v>-</v>
      </c>
      <c r="AL22" s="2272"/>
      <c r="AM22" s="2272"/>
      <c r="AN22" s="2272"/>
      <c r="AO22" s="2272"/>
      <c r="AW22" s="1159">
        <v>0</v>
      </c>
    </row>
    <row customHeight="1" ht="14.25" hidden="1">
      <c r="AO23" s="331"/>
      <c r="AW23" s="1159">
        <v>0</v>
      </c>
    </row>
    <row s="1370" customFormat="1" customHeight="1" ht="22.5" hidden="1">
      <c r="A24" s="1159"/>
      <c r="B24" s="1159"/>
      <c r="C24" s="1159"/>
      <c r="D24" s="1159"/>
      <c r="E24" s="1159"/>
      <c r="F24" s="1159"/>
      <c r="G24" s="1159"/>
      <c r="H24" s="1159"/>
      <c r="I24" s="1159"/>
      <c r="J24" s="1159"/>
      <c r="K24" s="1159"/>
      <c r="L24" s="1159"/>
      <c r="M24" s="1331"/>
      <c r="N24" s="1332"/>
      <c r="O24" s="1332"/>
      <c r="P24" s="1349" t="s">
        <v>435</v>
      </c>
      <c r="Q24" s="1366"/>
      <c r="R24" s="1375"/>
      <c r="S24" s="1375"/>
      <c r="T24" s="1375"/>
      <c r="U24" s="733"/>
      <c r="AC24" s="1371"/>
      <c r="AE24" s="1371"/>
      <c r="AF24" s="1370"/>
      <c r="AL24" s="1371"/>
      <c r="AN24" s="1371"/>
      <c r="AO24" s="1370"/>
      <c r="AR24" s="515"/>
      <c r="AS24" s="515"/>
      <c r="AT24" s="515"/>
      <c r="AU24" s="515"/>
      <c r="AV24" s="515"/>
      <c r="AW24" s="1164">
        <v>0</v>
      </c>
    </row>
    <row s="1370" customFormat="1" customHeight="1" ht="14.25" hidden="1">
      <c r="A25" s="1159"/>
      <c r="B25" s="1159"/>
      <c r="C25" s="1159"/>
      <c r="D25" s="1159"/>
      <c r="E25" s="1159"/>
      <c r="F25" s="1159"/>
      <c r="G25" s="1159"/>
      <c r="H25" s="1159"/>
      <c r="I25" s="1159"/>
      <c r="J25" s="1159"/>
      <c r="K25" s="1159"/>
      <c r="L25" s="1159"/>
      <c r="M25" s="1331"/>
      <c r="N25" s="1332"/>
      <c r="O25" s="1332"/>
      <c r="P25" s="1332"/>
      <c r="Q25" s="1366"/>
      <c r="R25" s="1375"/>
      <c r="S25" s="1375"/>
      <c r="T25" s="1375"/>
      <c r="U25" s="733"/>
      <c r="AF25" s="1370"/>
      <c r="AO25" s="1370"/>
      <c r="AR25" s="515"/>
      <c r="AS25" s="515"/>
      <c r="AT25" s="515"/>
      <c r="AU25" s="515"/>
      <c r="AV25" s="515"/>
      <c r="AW25" s="1164">
        <v>0</v>
      </c>
    </row>
    <row s="1370" customFormat="1" customHeight="1" ht="14.25" hidden="1">
      <c r="A26" s="1159"/>
      <c r="B26" s="1159"/>
      <c r="C26" s="1159"/>
      <c r="D26" s="1159"/>
      <c r="E26" s="1159"/>
      <c r="F26" s="1159"/>
      <c r="G26" s="1159"/>
      <c r="H26" s="1159"/>
      <c r="I26" s="1159"/>
      <c r="J26" s="1159"/>
      <c r="K26" s="1159"/>
      <c r="L26" s="1159"/>
      <c r="M26" s="1331"/>
      <c r="N26" s="1332"/>
      <c r="O26" s="1332"/>
      <c r="P26" s="1314" t="s">
        <v>436</v>
      </c>
      <c r="Q26" s="1366"/>
      <c r="R26" s="1375"/>
      <c r="S26" s="1375"/>
      <c r="T26" s="1375"/>
      <c r="U26" s="733"/>
      <c r="V26" s="1164" t="s">
        <v>437</v>
      </c>
      <c r="AD26" s="190" t="s">
        <v>438</v>
      </c>
      <c r="AF26" s="190" t="s">
        <v>439</v>
      </c>
      <c r="AG26" s="1164" t="s">
        <v>437</v>
      </c>
      <c r="AM26" s="190" t="s">
        <v>440</v>
      </c>
      <c r="AO26" s="190" t="s">
        <v>439</v>
      </c>
      <c r="AR26" s="515"/>
      <c r="AS26" s="515"/>
      <c r="AT26" s="515"/>
      <c r="AU26" s="515"/>
      <c r="AV26" s="515"/>
      <c r="AW26" s="1164">
        <v>0</v>
      </c>
    </row>
    <row customHeight="1" ht="14.25" hidden="1">
      <c r="P27" s="1314"/>
      <c r="AW27" s="1159">
        <v>0</v>
      </c>
    </row>
    <row customHeight="1" ht="14.25" hidden="1">
      <c r="P28" s="1314"/>
      <c r="AW28" s="1159">
        <v>0</v>
      </c>
    </row>
    <row customHeight="1" ht="14.699999999999998">
      <c r="R29" s="380"/>
      <c r="S29" s="380"/>
      <c r="T29" s="380"/>
      <c r="U29" s="1279"/>
      <c r="V29" s="367"/>
      <c r="W29" s="367"/>
      <c r="X29" s="513"/>
      <c r="Y29" s="513"/>
      <c r="Z29" s="513"/>
      <c r="AA29" s="513"/>
      <c r="AB29" s="513"/>
      <c r="AC29" s="513"/>
      <c r="AD29" s="513"/>
      <c r="AE29" s="513"/>
      <c r="AF29" s="513"/>
      <c r="AG29" s="513"/>
      <c r="AH29" s="513"/>
      <c r="AI29" s="513"/>
      <c r="AJ29" s="513"/>
      <c r="AK29" s="513"/>
      <c r="AL29" s="513"/>
      <c r="AM29" s="513"/>
      <c r="AN29" s="513"/>
      <c r="AO29" s="513"/>
      <c r="AW29" s="1159">
        <v>14</v>
      </c>
    </row>
    <row customHeight="1" ht="56.699999999999996">
      <c r="R30" s="380"/>
      <c r="S30" s="380"/>
      <c r="T30" s="380"/>
      <c r="U30" s="225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2"/>
      <c r="W30" s="2252"/>
      <c r="X30" s="2252"/>
      <c r="Y30" s="2252"/>
      <c r="Z30" s="2252"/>
      <c r="AA30" s="2252"/>
      <c r="AB30" s="2252"/>
      <c r="AC30" s="2252"/>
      <c r="AD30" s="2252"/>
      <c r="AE30" s="2252"/>
      <c r="AF30" s="2252"/>
      <c r="AG30" s="2252"/>
      <c r="AH30" s="2252"/>
      <c r="AI30" s="2252"/>
      <c r="AJ30" s="2252"/>
      <c r="AK30" s="2252"/>
      <c r="AL30" s="2252"/>
      <c r="AM30" s="2252"/>
      <c r="AN30" s="2252"/>
      <c r="AO30" s="1247"/>
      <c r="AW30" s="1159">
        <v>54</v>
      </c>
    </row>
    <row customHeight="1" ht="14.699999999999998">
      <c r="R31" s="380"/>
      <c r="S31" s="380"/>
      <c r="T31" s="380"/>
      <c r="U31" s="2253" t="str">
        <f>IF(org=0,"Не определено",org)</f>
        <v>АО "Теплоэнерго"</v>
      </c>
      <c r="V31" s="2253"/>
      <c r="W31" s="2253"/>
      <c r="X31" s="2253"/>
      <c r="Y31" s="2253"/>
      <c r="Z31" s="2253"/>
      <c r="AA31" s="2253"/>
      <c r="AB31" s="2253"/>
      <c r="AC31" s="2253"/>
      <c r="AD31" s="2253"/>
      <c r="AE31" s="2253"/>
      <c r="AF31" s="2253"/>
      <c r="AG31" s="2253"/>
      <c r="AH31" s="2253"/>
      <c r="AI31" s="2253"/>
      <c r="AJ31" s="2253"/>
      <c r="AK31" s="2253"/>
      <c r="AL31" s="2253"/>
      <c r="AM31" s="2253"/>
      <c r="AN31" s="2253"/>
      <c r="AO31" s="1247"/>
      <c r="AW31" s="1159">
        <v>14</v>
      </c>
    </row>
    <row customHeight="1" ht="14.25" hidden="1">
      <c r="R32" s="380"/>
      <c r="S32" s="380"/>
      <c r="T32" s="380"/>
      <c r="U32" s="1279"/>
      <c r="V32" s="367"/>
      <c r="W32" s="367"/>
      <c r="X32" s="326"/>
      <c r="Y32" s="326"/>
      <c r="Z32" s="326"/>
      <c r="AA32" s="326"/>
      <c r="AB32" s="326"/>
      <c r="AC32" s="326"/>
      <c r="AD32" s="326"/>
      <c r="AE32" s="326"/>
      <c r="AF32" s="326"/>
      <c r="AG32" s="326"/>
      <c r="AH32" s="326"/>
      <c r="AI32" s="326"/>
      <c r="AJ32" s="326"/>
      <c r="AK32" s="326"/>
      <c r="AL32" s="326"/>
      <c r="AM32" s="326"/>
      <c r="AN32" s="326"/>
      <c r="AO32" s="326"/>
      <c r="AP32" s="513"/>
      <c r="AW32" s="1159">
        <v>0</v>
      </c>
    </row>
    <row s="1857" customFormat="1" customHeight="1" ht="25.5" hidden="1">
      <c r="A33" s="1252"/>
      <c r="B33" s="1252"/>
      <c r="C33" s="1252"/>
      <c r="D33" s="1252"/>
      <c r="E33" s="1252"/>
      <c r="F33" s="1252"/>
      <c r="G33" s="1252"/>
      <c r="H33" s="1252"/>
      <c r="I33" s="1252"/>
      <c r="J33" s="1252"/>
      <c r="K33" s="1252"/>
      <c r="L33" s="1252"/>
      <c r="M33" s="1384"/>
      <c r="N33" s="1252"/>
      <c r="O33" s="1252"/>
      <c r="P33" s="1252"/>
      <c r="U33" s="2254" t="s">
        <v>41</v>
      </c>
      <c r="V33" s="2254"/>
      <c r="W33" s="1376"/>
      <c r="X33" s="2255" t="str">
        <f>IF(TITLE_NAME_OR_PR_CHANGE="",IF(TITLE_NAME_OR_PR="","",TITLE_NAME_OR_PR),TITLE_NAME_OR_PR_CHANGE)</f>
        <v/>
      </c>
      <c r="Y33" s="2255"/>
      <c r="Z33" s="2255"/>
      <c r="AA33" s="2255"/>
      <c r="AB33" s="2255"/>
      <c r="AC33" s="2255"/>
      <c r="AD33" s="2255"/>
      <c r="AE33" s="2255"/>
      <c r="AF33" s="330"/>
      <c r="AG33" s="2255" t="str">
        <f>IF(TITLE_NAME_OR_PR_CHANGE="",IF(TITLE_NAME_OR_PR="","",TITLE_NAME_OR_PR),TITLE_NAME_OR_PR_CHANGE)</f>
        <v/>
      </c>
      <c r="AH33" s="2255"/>
      <c r="AI33" s="2255"/>
      <c r="AJ33" s="2255"/>
      <c r="AK33" s="2255"/>
      <c r="AL33" s="2255"/>
      <c r="AM33" s="2255"/>
      <c r="AN33" s="2255"/>
      <c r="AO33" s="330"/>
      <c r="AP33" s="330"/>
      <c r="AQ33" s="284"/>
      <c r="AR33" s="372"/>
      <c r="AS33" s="372"/>
      <c r="AT33" s="372"/>
      <c r="AU33" s="372"/>
      <c r="AV33" s="372"/>
      <c r="AW33" s="422">
        <v>0</v>
      </c>
    </row>
    <row s="1857" customFormat="1" customHeight="1" ht="18.75" hidden="1">
      <c r="A34" s="1252"/>
      <c r="B34" s="1252"/>
      <c r="C34" s="1252"/>
      <c r="D34" s="1252"/>
      <c r="E34" s="1252"/>
      <c r="F34" s="1252"/>
      <c r="G34" s="1252"/>
      <c r="H34" s="1252"/>
      <c r="I34" s="1252"/>
      <c r="J34" s="1252"/>
      <c r="K34" s="1252"/>
      <c r="L34" s="1252"/>
      <c r="M34" s="1384"/>
      <c r="N34" s="1252"/>
      <c r="O34" s="1252"/>
      <c r="P34" s="1252"/>
      <c r="U34" s="2254" t="s">
        <v>441</v>
      </c>
      <c r="V34" s="2254"/>
      <c r="W34" s="1376"/>
      <c r="X34" s="2268" t="str">
        <f>IF(TITLE_DATE_PR_CHANGE="",IF(TITLE_DATE_PR="","",TITLE_DATE_PR),TITLE_DATE_PR_CHANGE)</f>
        <v/>
      </c>
      <c r="Y34" s="2268"/>
      <c r="Z34" s="2268"/>
      <c r="AA34" s="2268"/>
      <c r="AB34" s="2268"/>
      <c r="AC34" s="2268"/>
      <c r="AD34" s="2268"/>
      <c r="AE34" s="2268"/>
      <c r="AF34" s="330"/>
      <c r="AG34" s="2268" t="str">
        <f>IF(TITLE_DATE_PR_CHANGE="",IF(TITLE_DATE_PR="","",TITLE_DATE_PR),TITLE_DATE_PR_CHANGE)</f>
        <v/>
      </c>
      <c r="AH34" s="2268"/>
      <c r="AI34" s="2268"/>
      <c r="AJ34" s="2268"/>
      <c r="AK34" s="2268"/>
      <c r="AL34" s="2268"/>
      <c r="AM34" s="2268"/>
      <c r="AN34" s="2268"/>
      <c r="AO34" s="330"/>
      <c r="AP34" s="330"/>
      <c r="AQ34" s="284"/>
      <c r="AR34" s="372"/>
      <c r="AS34" s="372"/>
      <c r="AT34" s="372"/>
      <c r="AU34" s="372"/>
      <c r="AV34" s="372"/>
      <c r="AW34" s="422">
        <v>0</v>
      </c>
    </row>
    <row s="1857" customFormat="1" customHeight="1" ht="18.75" hidden="1">
      <c r="A35" s="1252"/>
      <c r="B35" s="1252"/>
      <c r="C35" s="1252"/>
      <c r="D35" s="1252"/>
      <c r="E35" s="1252"/>
      <c r="F35" s="1252"/>
      <c r="G35" s="1252"/>
      <c r="H35" s="1252"/>
      <c r="I35" s="1252"/>
      <c r="J35" s="1252"/>
      <c r="K35" s="1252"/>
      <c r="L35" s="1252"/>
      <c r="M35" s="1384"/>
      <c r="N35" s="1252"/>
      <c r="O35" s="1252"/>
      <c r="P35" s="1252"/>
      <c r="U35" s="2254" t="s">
        <v>442</v>
      </c>
      <c r="V35" s="2254"/>
      <c r="W35" s="1376"/>
      <c r="X35" s="2255" t="str">
        <f>IF(TITLE_NUMBER_PR_CHANGE="",IF(TITLE_NUMBER_PR="","",TITLE_NUMBER_PR),TITLE_NUMBER_PR_CHANGE)</f>
        <v/>
      </c>
      <c r="Y35" s="2255"/>
      <c r="Z35" s="2255"/>
      <c r="AA35" s="2255"/>
      <c r="AB35" s="2255"/>
      <c r="AC35" s="2255"/>
      <c r="AD35" s="2255"/>
      <c r="AE35" s="2255"/>
      <c r="AF35" s="330"/>
      <c r="AG35" s="2255" t="str">
        <f>IF(TITLE_NUMBER_PR_CHANGE="",IF(TITLE_NUMBER_PR="","",TITLE_NUMBER_PR),TITLE_NUMBER_PR_CHANGE)</f>
        <v/>
      </c>
      <c r="AH35" s="2255"/>
      <c r="AI35" s="2255"/>
      <c r="AJ35" s="2255"/>
      <c r="AK35" s="2255"/>
      <c r="AL35" s="2255"/>
      <c r="AM35" s="2255"/>
      <c r="AN35" s="2255"/>
      <c r="AO35" s="330"/>
      <c r="AP35" s="330"/>
      <c r="AQ35" s="284"/>
      <c r="AR35" s="372"/>
      <c r="AS35" s="372"/>
      <c r="AT35" s="372"/>
      <c r="AU35" s="372"/>
      <c r="AV35" s="372"/>
      <c r="AW35" s="422">
        <v>0</v>
      </c>
    </row>
    <row s="1857" customFormat="1" customHeight="1" ht="18.75" hidden="1">
      <c r="A36" s="1252"/>
      <c r="B36" s="1252"/>
      <c r="C36" s="1252"/>
      <c r="D36" s="1252"/>
      <c r="E36" s="1252"/>
      <c r="F36" s="1252"/>
      <c r="G36" s="1252"/>
      <c r="H36" s="1252"/>
      <c r="I36" s="1252"/>
      <c r="J36" s="1252"/>
      <c r="K36" s="1252"/>
      <c r="L36" s="1252"/>
      <c r="M36" s="1384"/>
      <c r="N36" s="1252"/>
      <c r="O36" s="1252"/>
      <c r="P36" s="1252"/>
      <c r="U36" s="2254" t="s">
        <v>42</v>
      </c>
      <c r="V36" s="2254"/>
      <c r="W36" s="1376"/>
      <c r="X36" s="2255" t="str">
        <f>IF(TITLE_IST_PUB_CHANGE="",IF(TITLE_IST_PUB="","",TITLE_IST_PUB),TITLE_IST_PUB_CHANGE)</f>
        <v/>
      </c>
      <c r="Y36" s="2255"/>
      <c r="Z36" s="2255"/>
      <c r="AA36" s="2255"/>
      <c r="AB36" s="2255"/>
      <c r="AC36" s="2255"/>
      <c r="AD36" s="2255"/>
      <c r="AE36" s="2255"/>
      <c r="AF36" s="330"/>
      <c r="AG36" s="2255" t="str">
        <f>IF(TITLE_IST_PUB_CHANGE="",IF(TITLE_IST_PUB="","",TITLE_IST_PUB),TITLE_IST_PUB_CHANGE)</f>
        <v/>
      </c>
      <c r="AH36" s="2255"/>
      <c r="AI36" s="2255"/>
      <c r="AJ36" s="2255"/>
      <c r="AK36" s="2255"/>
      <c r="AL36" s="2255"/>
      <c r="AM36" s="2255"/>
      <c r="AN36" s="2255"/>
      <c r="AO36" s="330"/>
      <c r="AP36" s="330"/>
      <c r="AQ36" s="284"/>
      <c r="AR36" s="372"/>
      <c r="AS36" s="372"/>
      <c r="AT36" s="372"/>
      <c r="AU36" s="372"/>
      <c r="AV36" s="372"/>
      <c r="AW36" s="422">
        <v>0</v>
      </c>
    </row>
    <row customHeight="1" ht="14.25" hidden="1">
      <c r="R37" s="380"/>
      <c r="S37" s="380"/>
      <c r="T37" s="380"/>
      <c r="U37" s="1279"/>
      <c r="V37" s="367"/>
      <c r="W37" s="367"/>
      <c r="X37" s="326"/>
      <c r="Y37" s="326"/>
      <c r="Z37" s="326"/>
      <c r="AA37" s="326"/>
      <c r="AB37" s="326"/>
      <c r="AC37" s="326"/>
      <c r="AD37" s="326"/>
      <c r="AE37" s="326"/>
      <c r="AF37" s="326"/>
      <c r="AG37" s="326"/>
      <c r="AH37" s="326"/>
      <c r="AI37" s="326"/>
      <c r="AJ37" s="326"/>
      <c r="AK37" s="326"/>
      <c r="AL37" s="326"/>
      <c r="AM37" s="326"/>
      <c r="AN37" s="326"/>
      <c r="AO37" s="326"/>
      <c r="AP37" s="513"/>
      <c r="AW37" s="1159">
        <v>0</v>
      </c>
    </row>
    <row s="1857" customFormat="1" customHeight="1" ht="18.75" hidden="1">
      <c r="A38" s="1252"/>
      <c r="B38" s="1252"/>
      <c r="C38" s="1252"/>
      <c r="D38" s="1252"/>
      <c r="E38" s="1252"/>
      <c r="F38" s="1252"/>
      <c r="G38" s="1252"/>
      <c r="H38" s="1252"/>
      <c r="I38" s="1252"/>
      <c r="J38" s="1252"/>
      <c r="K38" s="1252"/>
      <c r="L38" s="1252"/>
      <c r="M38" s="1384"/>
      <c r="N38" s="1252"/>
      <c r="O38" s="1252"/>
      <c r="P38" s="1252"/>
      <c r="U38" s="2254" t="s">
        <v>443</v>
      </c>
      <c r="V38" s="2254"/>
      <c r="W38" s="1376"/>
      <c r="X38" s="2268" t="str">
        <f>IF(TITLE_DATE_PR_CHANGE="",IF(TITLE_DATE_PR="","",TITLE_DATE_PR),TITLE_DATE_PR_CHANGE)</f>
        <v/>
      </c>
      <c r="Y38" s="2268"/>
      <c r="Z38" s="2268"/>
      <c r="AA38" s="2268"/>
      <c r="AB38" s="2268"/>
      <c r="AC38" s="2268"/>
      <c r="AD38" s="2268"/>
      <c r="AE38" s="2268"/>
      <c r="AF38" s="330"/>
      <c r="AG38" s="2268" t="str">
        <f>IF(TITLE_DATE_PR_CHANGE="",IF(TITLE_DATE_PR="","",TITLE_DATE_PR),TITLE_DATE_PR_CHANGE)</f>
        <v/>
      </c>
      <c r="AH38" s="2268"/>
      <c r="AI38" s="2268"/>
      <c r="AJ38" s="2268"/>
      <c r="AK38" s="2268"/>
      <c r="AL38" s="2268"/>
      <c r="AM38" s="2268"/>
      <c r="AN38" s="2268"/>
      <c r="AO38" s="330"/>
      <c r="AP38" s="330"/>
      <c r="AQ38" s="284"/>
      <c r="AR38" s="372"/>
      <c r="AS38" s="372"/>
      <c r="AT38" s="372"/>
      <c r="AU38" s="372"/>
      <c r="AV38" s="372"/>
      <c r="AW38" s="422">
        <v>0</v>
      </c>
    </row>
    <row s="1857" customFormat="1" customHeight="1" ht="18.75" hidden="1">
      <c r="A39" s="1252"/>
      <c r="B39" s="1252"/>
      <c r="C39" s="1252"/>
      <c r="D39" s="1252"/>
      <c r="E39" s="1252"/>
      <c r="F39" s="1252"/>
      <c r="G39" s="1252"/>
      <c r="H39" s="1252"/>
      <c r="I39" s="1252"/>
      <c r="J39" s="1252"/>
      <c r="K39" s="1252"/>
      <c r="L39" s="1252"/>
      <c r="M39" s="1384"/>
      <c r="N39" s="1252"/>
      <c r="O39" s="1252"/>
      <c r="P39" s="1252"/>
      <c r="U39" s="2254" t="s">
        <v>444</v>
      </c>
      <c r="V39" s="2254"/>
      <c r="W39" s="1376"/>
      <c r="X39" s="2255" t="str">
        <f>IF(TITLE_NUMBER_PR_CHANGE="",IF(TITLE_NUMBER_PR="","",TITLE_NUMBER_PR),TITLE_NUMBER_PR_CHANGE)</f>
        <v/>
      </c>
      <c r="Y39" s="2255"/>
      <c r="Z39" s="2255"/>
      <c r="AA39" s="2255"/>
      <c r="AB39" s="2255"/>
      <c r="AC39" s="2255"/>
      <c r="AD39" s="2255"/>
      <c r="AE39" s="2255"/>
      <c r="AF39" s="330"/>
      <c r="AG39" s="2255" t="str">
        <f>IF(TITLE_NUMBER_PR_CHANGE="",IF(TITLE_NUMBER_PR="","",TITLE_NUMBER_PR),TITLE_NUMBER_PR_CHANGE)</f>
        <v/>
      </c>
      <c r="AH39" s="2255"/>
      <c r="AI39" s="2255"/>
      <c r="AJ39" s="2255"/>
      <c r="AK39" s="2255"/>
      <c r="AL39" s="2255"/>
      <c r="AM39" s="2255"/>
      <c r="AN39" s="2255"/>
      <c r="AO39" s="330"/>
      <c r="AP39" s="330"/>
      <c r="AQ39" s="284"/>
      <c r="AR39" s="372"/>
      <c r="AS39" s="372"/>
      <c r="AT39" s="372"/>
      <c r="AU39" s="372"/>
      <c r="AV39" s="372"/>
      <c r="AW39" s="422">
        <v>0</v>
      </c>
    </row>
    <row s="1857" customFormat="1" customHeight="1" ht="0">
      <c r="A40" s="1252"/>
      <c r="B40" s="1252"/>
      <c r="C40" s="1252"/>
      <c r="D40" s="1252"/>
      <c r="E40" s="1252"/>
      <c r="F40" s="1252"/>
      <c r="G40" s="1252"/>
      <c r="H40" s="1252"/>
      <c r="I40" s="1252"/>
      <c r="J40" s="1252"/>
      <c r="K40" s="1252"/>
      <c r="L40" s="1252"/>
      <c r="M40" s="1384"/>
      <c r="N40" s="1252"/>
      <c r="O40" s="1252"/>
      <c r="P40" s="1252"/>
      <c r="U40" s="327"/>
      <c r="V40" s="327"/>
      <c r="W40" s="1344"/>
      <c r="X40" s="330"/>
      <c r="Y40" s="330"/>
      <c r="Z40" s="330"/>
      <c r="AA40" s="330"/>
      <c r="AB40" s="330"/>
      <c r="AC40" s="330"/>
      <c r="AD40" s="330"/>
      <c r="AE40" s="330"/>
      <c r="AF40" s="282" t="s">
        <v>445</v>
      </c>
      <c r="AG40" s="330"/>
      <c r="AH40" s="330"/>
      <c r="AI40" s="330"/>
      <c r="AJ40" s="330"/>
      <c r="AK40" s="330"/>
      <c r="AL40" s="330"/>
      <c r="AM40" s="330"/>
      <c r="AN40" s="330"/>
      <c r="AO40" s="282" t="s">
        <v>445</v>
      </c>
      <c r="AR40" s="372"/>
      <c r="AS40" s="372"/>
      <c r="AT40" s="372"/>
      <c r="AU40" s="372"/>
      <c r="AV40" s="372"/>
      <c r="AW40" s="422">
        <v>0</v>
      </c>
    </row>
    <row customHeight="1" ht="14.699999999999998">
      <c r="R41" s="380"/>
      <c r="S41" s="380"/>
      <c r="T41" s="380"/>
      <c r="U41" s="1279"/>
      <c r="V41" s="367"/>
      <c r="W41" s="1248"/>
      <c r="X41" s="2256"/>
      <c r="Y41" s="2256"/>
      <c r="Z41" s="2256"/>
      <c r="AA41" s="2256"/>
      <c r="AB41" s="2256"/>
      <c r="AC41" s="2256"/>
      <c r="AD41" s="2256"/>
      <c r="AE41" s="2256"/>
      <c r="AF41" s="2256"/>
      <c r="AG41" s="2256"/>
      <c r="AH41" s="2256"/>
      <c r="AI41" s="2256"/>
      <c r="AJ41" s="2256"/>
      <c r="AK41" s="2256"/>
      <c r="AL41" s="2256"/>
      <c r="AM41" s="2256"/>
      <c r="AN41" s="2256"/>
      <c r="AO41" s="2256"/>
      <c r="AW41" s="1159">
        <v>14</v>
      </c>
    </row>
    <row customHeight="1" ht="14.699999999999998">
      <c r="R42" s="380"/>
      <c r="S42" s="380"/>
      <c r="T42" s="380"/>
      <c r="U42" s="2131" t="s">
        <v>318</v>
      </c>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t="s">
        <v>319</v>
      </c>
      <c r="AW42" s="1159">
        <v>14</v>
      </c>
    </row>
    <row customHeight="1" ht="14.699999999999998">
      <c r="R43" s="380"/>
      <c r="S43" s="380"/>
      <c r="T43" s="380"/>
      <c r="U43" s="2277" t="s">
        <v>88</v>
      </c>
      <c r="V43" s="2213" t="s">
        <v>446</v>
      </c>
      <c r="W43" s="305"/>
      <c r="X43" s="2278" t="s">
        <v>447</v>
      </c>
      <c r="Y43" s="2295"/>
      <c r="Z43" s="2295"/>
      <c r="AA43" s="2295"/>
      <c r="AB43" s="2295"/>
      <c r="AC43" s="2279"/>
      <c r="AD43" s="2279"/>
      <c r="AE43" s="2280"/>
      <c r="AF43" s="2281" t="s">
        <v>448</v>
      </c>
      <c r="AG43" s="2278" t="s">
        <v>447</v>
      </c>
      <c r="AH43" s="2295"/>
      <c r="AI43" s="2295"/>
      <c r="AJ43" s="2295"/>
      <c r="AK43" s="2295"/>
      <c r="AL43" s="2279"/>
      <c r="AM43" s="2279"/>
      <c r="AN43" s="2280"/>
      <c r="AO43" s="2281" t="s">
        <v>449</v>
      </c>
      <c r="AP43" s="2284" t="s">
        <v>450</v>
      </c>
      <c r="AQ43" s="2131"/>
      <c r="AW43" s="1159">
        <v>14</v>
      </c>
    </row>
    <row customHeight="1" ht="35.699999999999996">
      <c r="R44" s="380"/>
      <c r="S44" s="380"/>
      <c r="T44" s="380"/>
      <c r="U44" s="2277"/>
      <c r="V44" s="2213"/>
      <c r="W44" s="1035"/>
      <c r="X44" s="2298" t="s">
        <v>473</v>
      </c>
      <c r="Y44" s="2316" t="s">
        <v>474</v>
      </c>
      <c r="Z44" s="2316"/>
      <c r="AA44" s="2316"/>
      <c r="AB44" s="2316"/>
      <c r="AC44" s="2298" t="s">
        <v>454</v>
      </c>
      <c r="AD44" s="2615"/>
      <c r="AE44" s="2318"/>
      <c r="AF44" s="2282"/>
      <c r="AG44" s="2298" t="s">
        <v>473</v>
      </c>
      <c r="AH44" s="2316" t="s">
        <v>474</v>
      </c>
      <c r="AI44" s="2316"/>
      <c r="AJ44" s="2316"/>
      <c r="AK44" s="2316"/>
      <c r="AL44" s="2298" t="s">
        <v>454</v>
      </c>
      <c r="AM44" s="2615"/>
      <c r="AN44" s="2318"/>
      <c r="AO44" s="2282"/>
      <c r="AP44" s="2285"/>
      <c r="AQ44" s="2131"/>
      <c r="AW44" s="1159">
        <v>34</v>
      </c>
    </row>
    <row customHeight="1" ht="14.699999999999998">
      <c r="R45" s="380"/>
      <c r="S45" s="380"/>
      <c r="T45" s="380"/>
      <c r="U45" s="2277"/>
      <c r="V45" s="2213"/>
      <c r="W45" s="1035"/>
      <c r="X45" s="2329"/>
      <c r="Y45" s="2321" t="s">
        <v>475</v>
      </c>
      <c r="Z45" s="2274" t="s">
        <v>476</v>
      </c>
      <c r="AA45" s="2324"/>
      <c r="AB45" s="2275"/>
      <c r="AC45" s="2299"/>
      <c r="AD45" s="2616"/>
      <c r="AE45" s="2320"/>
      <c r="AF45" s="2282"/>
      <c r="AG45" s="2329"/>
      <c r="AH45" s="2321" t="s">
        <v>475</v>
      </c>
      <c r="AI45" s="2274" t="s">
        <v>476</v>
      </c>
      <c r="AJ45" s="2324"/>
      <c r="AK45" s="2275"/>
      <c r="AL45" s="2299"/>
      <c r="AM45" s="2616"/>
      <c r="AN45" s="2320"/>
      <c r="AO45" s="2282"/>
      <c r="AP45" s="2285"/>
      <c r="AQ45" s="2131"/>
      <c r="AW45" s="1159">
        <v>14</v>
      </c>
    </row>
    <row customHeight="1" ht="27.299999999999997">
      <c r="R46" s="380"/>
      <c r="S46" s="380"/>
      <c r="T46" s="380"/>
      <c r="U46" s="2277"/>
      <c r="V46" s="2213"/>
      <c r="W46" s="1035"/>
      <c r="X46" s="2329"/>
      <c r="Y46" s="2322"/>
      <c r="Z46" s="2321" t="s">
        <v>477</v>
      </c>
      <c r="AA46" s="2274" t="s">
        <v>478</v>
      </c>
      <c r="AB46" s="2275"/>
      <c r="AC46" s="2321" t="s">
        <v>464</v>
      </c>
      <c r="AD46" s="2325" t="s">
        <v>465</v>
      </c>
      <c r="AE46" s="2326"/>
      <c r="AF46" s="2282"/>
      <c r="AG46" s="2329"/>
      <c r="AH46" s="2322"/>
      <c r="AI46" s="2321" t="s">
        <v>477</v>
      </c>
      <c r="AJ46" s="2274" t="s">
        <v>478</v>
      </c>
      <c r="AK46" s="2275"/>
      <c r="AL46" s="2321" t="s">
        <v>464</v>
      </c>
      <c r="AM46" s="2325" t="s">
        <v>465</v>
      </c>
      <c r="AN46" s="2326"/>
      <c r="AO46" s="2282"/>
      <c r="AP46" s="2285"/>
      <c r="AQ46" s="2131"/>
      <c r="AW46" s="1159">
        <v>26</v>
      </c>
    </row>
    <row customHeight="1" ht="65.25">
      <c r="A47" s="1263"/>
      <c r="B47" s="1263" t="s">
        <v>155</v>
      </c>
      <c r="C47" s="1263" t="s">
        <v>156</v>
      </c>
      <c r="D47" s="1263" t="s">
        <v>157</v>
      </c>
      <c r="E47" s="1314" t="s">
        <v>455</v>
      </c>
      <c r="F47" s="1314" t="s">
        <v>456</v>
      </c>
      <c r="G47" s="1314" t="s">
        <v>457</v>
      </c>
      <c r="H47" s="1314" t="s">
        <v>458</v>
      </c>
      <c r="I47" s="1314" t="s">
        <v>459</v>
      </c>
      <c r="J47" s="1314" t="s">
        <v>460</v>
      </c>
      <c r="K47" s="1314" t="s">
        <v>461</v>
      </c>
      <c r="L47" s="1314" t="s">
        <v>479</v>
      </c>
      <c r="M47" s="1314" t="s">
        <v>436</v>
      </c>
      <c r="R47" s="380"/>
      <c r="S47" s="380"/>
      <c r="T47" s="380"/>
      <c r="U47" s="2277"/>
      <c r="V47" s="2213"/>
      <c r="W47" s="306"/>
      <c r="X47" s="2299"/>
      <c r="Y47" s="2323"/>
      <c r="Z47" s="2323"/>
      <c r="AA47" s="1226" t="s">
        <v>480</v>
      </c>
      <c r="AB47" s="1226" t="s">
        <v>481</v>
      </c>
      <c r="AC47" s="2323"/>
      <c r="AD47" s="2327"/>
      <c r="AE47" s="2328"/>
      <c r="AF47" s="2283"/>
      <c r="AG47" s="2299"/>
      <c r="AH47" s="2323"/>
      <c r="AI47" s="2323"/>
      <c r="AJ47" s="1226" t="s">
        <v>480</v>
      </c>
      <c r="AK47" s="1226" t="s">
        <v>481</v>
      </c>
      <c r="AL47" s="2323"/>
      <c r="AM47" s="2327"/>
      <c r="AN47" s="2328"/>
      <c r="AO47" s="2283"/>
      <c r="AP47" s="2286"/>
      <c r="AQ47" s="2131"/>
      <c r="AW47" s="1159">
        <v>62</v>
      </c>
    </row>
    <row s="1645" customFormat="1" customHeight="1" ht="11.25" hidden="1">
      <c r="A48" s="1263"/>
      <c r="B48" s="1263"/>
      <c r="C48" s="1263"/>
      <c r="D48" s="1263"/>
      <c r="E48" s="1263"/>
      <c r="F48" s="1263"/>
      <c r="G48" s="1263"/>
      <c r="H48" s="1263"/>
      <c r="I48" s="1263"/>
      <c r="J48" s="1263"/>
      <c r="K48" s="1263"/>
      <c r="L48" s="1263"/>
      <c r="M48" s="1314"/>
      <c r="N48" s="1332"/>
      <c r="O48" s="1332"/>
      <c r="P48" s="1332"/>
      <c r="Q48" s="1250"/>
      <c r="R48" s="1251"/>
      <c r="S48" s="1258">
        <v>1</v>
      </c>
      <c r="T48" s="1258"/>
      <c r="U48" s="1281" t="s">
        <v>119</v>
      </c>
      <c r="V48" s="1259" t="s">
        <v>103</v>
      </c>
      <c r="W48" s="1249" t="str">
        <f>OFFSET(W48,0,-1)</f>
        <v>2</v>
      </c>
      <c r="X48" s="1339">
        <f>OFFSET(X48,0,-1)+1</f>
        <v>3</v>
      </c>
      <c r="Y48" s="1345"/>
      <c r="Z48" s="1345"/>
      <c r="AA48" s="1345">
        <f>OFFSET(AA48,0,-1)+1</f>
        <v>1</v>
      </c>
      <c r="AB48" s="1345">
        <f>OFFSET(AB48,0,-1)+1</f>
        <v>2</v>
      </c>
      <c r="AC48" s="1339">
        <f>OFFSET(AC48,0,-1)+1</f>
        <v>3</v>
      </c>
      <c r="AD48" s="2276">
        <f>OFFSET(AD48,0,-1)+1</f>
        <v>4</v>
      </c>
      <c r="AE48" s="2276"/>
      <c r="AF48" s="1339">
        <f>OFFSET(AF48,0,-2)+1</f>
        <v>5</v>
      </c>
      <c r="AG48" s="1339">
        <f>OFFSET(AG48,0,-1)+1</f>
        <v>6</v>
      </c>
      <c r="AH48" s="1339"/>
      <c r="AI48" s="1339"/>
      <c r="AJ48" s="1339">
        <f>OFFSET(AJ48,0,-1)+1</f>
        <v>1</v>
      </c>
      <c r="AK48" s="1339">
        <f>OFFSET(AK48,0,-1)+1</f>
        <v>2</v>
      </c>
      <c r="AL48" s="1339">
        <f>OFFSET(AL48,0,-1)+1</f>
        <v>3</v>
      </c>
      <c r="AM48" s="2276">
        <f>OFFSET(AM48,0,-1)+1</f>
        <v>4</v>
      </c>
      <c r="AN48" s="2276"/>
      <c r="AO48" s="1339">
        <f>OFFSET(AO48,0,-2)+1</f>
        <v>5</v>
      </c>
      <c r="AP48" s="1249">
        <f>OFFSET(AP48,0,-1)</f>
        <v>5</v>
      </c>
      <c r="AQ48" s="1339">
        <f>OFFSET(AQ48,0,-1)+1</f>
        <v>6</v>
      </c>
      <c r="AR48" s="515"/>
      <c r="AS48" s="515"/>
      <c r="AT48" s="515"/>
      <c r="AU48" s="515"/>
      <c r="AV48" s="515"/>
      <c r="AW48" s="500">
        <v>0</v>
      </c>
    </row>
    <row customHeight="1" ht="22.049999999999997">
      <c r="A49" s="1271" t="s">
        <v>194</v>
      </c>
      <c r="B49" s="1271"/>
      <c r="C49" s="1271"/>
      <c r="D49" s="1271"/>
      <c r="E49" s="2293">
        <v>1</v>
      </c>
      <c r="F49" s="1271"/>
      <c r="G49" s="1271"/>
      <c r="H49" s="1271"/>
      <c r="I49" s="1271"/>
      <c r="J49" s="1271"/>
      <c r="K49" s="1271"/>
      <c r="L49" s="1271"/>
      <c r="M49" s="1314"/>
      <c r="N49" s="692"/>
      <c r="O49" s="692"/>
      <c r="P49" s="692"/>
      <c r="Q49" s="365"/>
      <c r="R49" s="364"/>
      <c r="S49" s="364"/>
      <c r="T49" s="359"/>
      <c r="U49" s="1340">
        <f>INDEX(PT_DIFFERENTIATION_NUM_NTAR,MATCH(A49,PT_DIFFERENTIATION_NTAR_ID,0))</f>
        <v>0</v>
      </c>
      <c r="V49" s="302" t="s">
        <v>143</v>
      </c>
      <c r="W49" s="304"/>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4"/>
      <c r="AT49" s="504" t="str">
        <f>IF(V49="","",V49)</f>
        <v>Наименование тарифа</v>
      </c>
      <c r="AU49" s="504"/>
      <c r="AV49" s="504"/>
      <c r="AW49" s="1159">
        <v>21</v>
      </c>
    </row>
    <row customHeight="1" ht="22.049999999999997">
      <c r="A50" s="1271" t="s">
        <v>194</v>
      </c>
      <c r="B50" s="1271" t="s">
        <v>195</v>
      </c>
      <c r="C50" s="1271"/>
      <c r="D50" s="1271"/>
      <c r="E50" s="2294"/>
      <c r="F50" s="2293">
        <v>1</v>
      </c>
      <c r="G50" s="1271"/>
      <c r="H50" s="1271"/>
      <c r="I50" s="1271"/>
      <c r="J50" s="1271"/>
      <c r="K50" s="1271"/>
      <c r="L50" s="1271"/>
      <c r="M50" s="1314"/>
      <c r="N50" s="692"/>
      <c r="O50" s="692"/>
      <c r="P50" s="692"/>
      <c r="Q50" s="1336"/>
      <c r="R50" s="356"/>
      <c r="S50" s="513"/>
      <c r="T50" s="357"/>
      <c r="U50" s="1340" t="str">
        <f>INDEX(PT_DIFFERENTIATION_NUM_TER,MATCH(B50,PT_DIFFERENTIATION_TER_ID,0))</f>
        <v>.</v>
      </c>
      <c r="V50" s="312" t="s">
        <v>415</v>
      </c>
      <c r="W50" s="304"/>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262" t="s">
        <v>416</v>
      </c>
      <c r="AS50" s="504"/>
      <c r="AT50" s="504" t="str">
        <f>IF(V50="","",V50)</f>
        <v>Территория действия тарифа</v>
      </c>
      <c r="AU50" s="504"/>
      <c r="AV50" s="504"/>
      <c r="AW50" s="1159">
        <v>21</v>
      </c>
    </row>
    <row customHeight="1" ht="24">
      <c r="A51" s="1271" t="s">
        <v>194</v>
      </c>
      <c r="B51" s="1271" t="s">
        <v>195</v>
      </c>
      <c r="C51" s="1271" t="s">
        <v>196</v>
      </c>
      <c r="D51" s="1271"/>
      <c r="E51" s="2294"/>
      <c r="F51" s="2294"/>
      <c r="G51" s="2293">
        <v>1</v>
      </c>
      <c r="H51" s="1271"/>
      <c r="I51" s="1271"/>
      <c r="J51" s="1271"/>
      <c r="K51" s="1271"/>
      <c r="L51" s="1271"/>
      <c r="M51" s="1314"/>
      <c r="N51" s="692"/>
      <c r="O51" s="692"/>
      <c r="P51" s="692"/>
      <c r="Q51" s="358"/>
      <c r="R51" s="356"/>
      <c r="S51" s="513"/>
      <c r="T51" s="357"/>
      <c r="U51" s="1340" t="str">
        <f>INDEX(PT_DIFFERENTIATION_NUM_CS,MATCH(C51,PT_DIFFERENTIATION_CS_ID,0))</f>
        <v>..</v>
      </c>
      <c r="V51" s="313" t="s">
        <v>417</v>
      </c>
      <c r="W51" s="304"/>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262" t="s">
        <v>418</v>
      </c>
      <c r="AS51" s="504"/>
      <c r="AT51" s="504" t="str">
        <f>IF(V51="","",V51)</f>
        <v>Наименование системы теплоснабжения </v>
      </c>
      <c r="AU51" s="504"/>
      <c r="AV51" s="504"/>
      <c r="AW51" s="1159">
        <v>23</v>
      </c>
    </row>
    <row customHeight="1" ht="22.049999999999997">
      <c r="A52" s="1271" t="s">
        <v>194</v>
      </c>
      <c r="B52" s="1271" t="s">
        <v>195</v>
      </c>
      <c r="C52" s="1271" t="s">
        <v>196</v>
      </c>
      <c r="D52" s="1271" t="s">
        <v>197</v>
      </c>
      <c r="E52" s="2294"/>
      <c r="F52" s="2294"/>
      <c r="G52" s="2294"/>
      <c r="H52" s="2314">
        <v>1</v>
      </c>
      <c r="I52" s="1271"/>
      <c r="J52" s="1271"/>
      <c r="K52" s="1271"/>
      <c r="L52" s="1271"/>
      <c r="M52" s="1314"/>
      <c r="N52" s="692"/>
      <c r="O52" s="692"/>
      <c r="P52" s="692"/>
      <c r="Q52" s="358"/>
      <c r="R52" s="356"/>
      <c r="S52" s="513"/>
      <c r="T52" s="357"/>
      <c r="U52" s="1340" t="str">
        <f>INDEX(PT_DIFFERENTIATION_NUM_IST_TE,MATCH(D52,PT_DIFFERENTIATION_IST_TE_ID,0))</f>
        <v>...</v>
      </c>
      <c r="V52" s="314" t="s">
        <v>419</v>
      </c>
      <c r="W52" s="304"/>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262" t="s">
        <v>420</v>
      </c>
      <c r="AS52" s="504"/>
      <c r="AT52" s="504" t="str">
        <f>IF(V52="","",V52)</f>
        <v>Источник тепловой энергии  </v>
      </c>
      <c r="AU52" s="504"/>
      <c r="AV52" s="504"/>
      <c r="AW52" s="1159">
        <v>21</v>
      </c>
    </row>
    <row s="1646" customFormat="1" customHeight="1" ht="0">
      <c r="A53" s="1379" t="s">
        <v>194</v>
      </c>
      <c r="B53" s="1379" t="s">
        <v>195</v>
      </c>
      <c r="C53" s="1379" t="s">
        <v>196</v>
      </c>
      <c r="D53" s="1379" t="s">
        <v>197</v>
      </c>
      <c r="E53" s="2294"/>
      <c r="F53" s="2294"/>
      <c r="G53" s="2294"/>
      <c r="H53" s="2315"/>
      <c r="I53" s="2131" t="str">
        <f>U52&amp;".1"</f>
        <v>....1</v>
      </c>
      <c r="J53" s="1379"/>
      <c r="K53" s="1379"/>
      <c r="L53" s="1379"/>
      <c r="M53" s="1385" t="s">
        <v>421</v>
      </c>
      <c r="N53" s="1250"/>
      <c r="O53" s="1250"/>
      <c r="P53" s="1250"/>
      <c r="Q53" s="2261">
        <v>1</v>
      </c>
      <c r="R53" s="1335"/>
      <c r="S53" s="1335"/>
      <c r="T53" s="360"/>
      <c r="U53" s="1046"/>
      <c r="V53" s="1387"/>
      <c r="W53" s="1388"/>
      <c r="X53" s="2300"/>
      <c r="Y53" s="2301"/>
      <c r="Z53" s="2301"/>
      <c r="AA53" s="2301"/>
      <c r="AB53" s="2301"/>
      <c r="AC53" s="2301"/>
      <c r="AD53" s="2301"/>
      <c r="AE53" s="2301"/>
      <c r="AF53" s="2302"/>
      <c r="AG53" s="2300"/>
      <c r="AH53" s="2301"/>
      <c r="AI53" s="2301"/>
      <c r="AJ53" s="2301"/>
      <c r="AK53" s="2301"/>
      <c r="AL53" s="2301"/>
      <c r="AM53" s="2301"/>
      <c r="AN53" s="2301"/>
      <c r="AO53" s="2301"/>
      <c r="AP53" s="2302"/>
      <c r="AQ53" s="1389"/>
      <c r="AS53" s="504"/>
      <c r="AT53" s="504" t="str">
        <f>IF(V53="","",V53)</f>
        <v/>
      </c>
      <c r="AU53" s="504"/>
      <c r="AV53" s="504"/>
      <c r="AW53" s="515">
        <v>0</v>
      </c>
    </row>
    <row customHeight="1" ht="22.049999999999997">
      <c r="A54" s="1271" t="s">
        <v>194</v>
      </c>
      <c r="B54" s="1271" t="s">
        <v>195</v>
      </c>
      <c r="C54" s="1271" t="s">
        <v>196</v>
      </c>
      <c r="D54" s="1271" t="s">
        <v>197</v>
      </c>
      <c r="E54" s="2294"/>
      <c r="F54" s="2294"/>
      <c r="G54" s="2294"/>
      <c r="H54" s="2315"/>
      <c r="I54" s="2105"/>
      <c r="J54" s="2131" t="str">
        <f>I53&amp;".1"</f>
        <v>....1.1</v>
      </c>
      <c r="K54" s="1271"/>
      <c r="L54" s="1271"/>
      <c r="M54" s="1314" t="s">
        <v>424</v>
      </c>
      <c r="Q54" s="2261"/>
      <c r="R54" s="2261">
        <v>1</v>
      </c>
      <c r="S54" s="522"/>
      <c r="T54" s="361"/>
      <c r="U54" s="1340" t="str">
        <f>$J54</f>
        <v>....1.1</v>
      </c>
      <c r="V54" s="290" t="s">
        <v>425</v>
      </c>
      <c r="W54" s="304"/>
      <c r="X54" s="2249"/>
      <c r="Y54" s="2250"/>
      <c r="Z54" s="2250"/>
      <c r="AA54" s="2250"/>
      <c r="AB54" s="2250"/>
      <c r="AC54" s="2239"/>
      <c r="AD54" s="2239"/>
      <c r="AE54" s="2239"/>
      <c r="AF54" s="2312"/>
      <c r="AG54" s="2249"/>
      <c r="AH54" s="2250"/>
      <c r="AI54" s="2250"/>
      <c r="AJ54" s="2250"/>
      <c r="AK54" s="2250"/>
      <c r="AL54" s="2250"/>
      <c r="AM54" s="2250"/>
      <c r="AN54" s="2250"/>
      <c r="AO54" s="2250"/>
      <c r="AP54" s="2251"/>
      <c r="AQ54" s="1262" t="s">
        <v>426</v>
      </c>
      <c r="AS54" s="504"/>
      <c r="AT54" s="504" t="str">
        <f>IF(V54="","",V54)</f>
        <v>Группа потребителей</v>
      </c>
      <c r="AU54" s="504"/>
      <c r="AV54" s="504"/>
      <c r="AW54" s="1159">
        <v>21</v>
      </c>
    </row>
    <row customHeight="1" ht="22.049999999999997">
      <c r="A55" s="1271" t="s">
        <v>194</v>
      </c>
      <c r="B55" s="1271" t="s">
        <v>195</v>
      </c>
      <c r="C55" s="1271" t="s">
        <v>196</v>
      </c>
      <c r="D55" s="1271" t="s">
        <v>197</v>
      </c>
      <c r="E55" s="2294"/>
      <c r="F55" s="2294"/>
      <c r="G55" s="2294"/>
      <c r="H55" s="2315"/>
      <c r="I55" s="2105"/>
      <c r="J55" s="2105"/>
      <c r="K55" s="2131" t="str">
        <f>J54&amp;".1"</f>
        <v>....1.1.1</v>
      </c>
      <c r="L55" s="143"/>
      <c r="M55" s="1314" t="s">
        <v>427</v>
      </c>
      <c r="Q55" s="2261"/>
      <c r="R55" s="2261"/>
      <c r="S55" s="522">
        <v>1</v>
      </c>
      <c r="T55" s="361"/>
      <c r="U55" s="1340" t="str">
        <f>$K55</f>
        <v>....1.1.1</v>
      </c>
      <c r="V55" s="1351"/>
      <c r="W55" s="304"/>
      <c r="X55" s="755"/>
      <c r="Y55" s="755"/>
      <c r="Z55" s="755"/>
      <c r="AA55" s="755"/>
      <c r="AB55" s="1409"/>
      <c r="AC55" s="2269"/>
      <c r="AD55" s="2111" t="s">
        <v>62</v>
      </c>
      <c r="AE55" s="2269"/>
      <c r="AF55" s="2111" t="s">
        <v>62</v>
      </c>
      <c r="AG55" s="1411"/>
      <c r="AH55" s="755"/>
      <c r="AI55" s="755"/>
      <c r="AJ55" s="755"/>
      <c r="AK55" s="1261"/>
      <c r="AL55" s="2269"/>
      <c r="AM55" s="2111" t="s">
        <v>62</v>
      </c>
      <c r="AN55" s="2269"/>
      <c r="AO55" s="2111" t="s">
        <v>62</v>
      </c>
      <c r="AP55" s="1352"/>
      <c r="AQ55" s="1311" t="s">
        <v>470</v>
      </c>
      <c r="AR55" s="515">
        <f>STRCHECKDATE(X57:AP57)</f>
      </c>
      <c r="AS55" s="504"/>
      <c r="AT55" s="504" t="str">
        <f>IF(V55="","",V55)</f>
        <v/>
      </c>
      <c r="AU55" s="504"/>
      <c r="AV55" s="504"/>
      <c r="AW55" s="1159">
        <v>21</v>
      </c>
    </row>
    <row customHeight="1" ht="11.549999999999999">
      <c r="A56" s="1271" t="s">
        <v>194</v>
      </c>
      <c r="B56" s="1271" t="s">
        <v>195</v>
      </c>
      <c r="C56" s="1271" t="s">
        <v>196</v>
      </c>
      <c r="D56" s="1271" t="s">
        <v>197</v>
      </c>
      <c r="E56" s="2294"/>
      <c r="F56" s="2294"/>
      <c r="G56" s="2294"/>
      <c r="H56" s="2315"/>
      <c r="I56" s="2105"/>
      <c r="J56" s="2105"/>
      <c r="K56" s="2105"/>
      <c r="L56" s="2131" t="str">
        <f>K55&amp;".1"</f>
        <v>....1.1.1.1</v>
      </c>
      <c r="M56" s="1314"/>
      <c r="Q56" s="2261"/>
      <c r="R56" s="2261"/>
      <c r="S56" s="522">
        <v>1</v>
      </c>
      <c r="T56" s="361"/>
      <c r="U56" s="1340" t="str">
        <f>$L56</f>
        <v>....1.1.1.1</v>
      </c>
      <c r="V56" s="1395"/>
      <c r="W56" s="304"/>
      <c r="X56" s="329"/>
      <c r="Y56" s="755"/>
      <c r="Z56" s="755"/>
      <c r="AA56" s="755"/>
      <c r="AB56" s="1409"/>
      <c r="AC56" s="2313"/>
      <c r="AD56" s="2111"/>
      <c r="AE56" s="2313"/>
      <c r="AF56" s="2111"/>
      <c r="AG56" s="1411"/>
      <c r="AH56" s="755"/>
      <c r="AI56" s="755"/>
      <c r="AJ56" s="755"/>
      <c r="AK56" s="1261"/>
      <c r="AL56" s="2313"/>
      <c r="AM56" s="2111"/>
      <c r="AN56" s="2313"/>
      <c r="AO56" s="2111"/>
      <c r="AP56" s="1352"/>
      <c r="AQ56" s="2257" t="s">
        <v>471</v>
      </c>
      <c r="AR56" s="515">
        <f>STRCHECKDATE(X58:AP58)</f>
      </c>
      <c r="AS56" s="504"/>
      <c r="AT56" s="504" t="str">
        <f>IF(V56="","",V56)</f>
        <v/>
      </c>
      <c r="AU56" s="504"/>
      <c r="AV56" s="504"/>
      <c r="AW56" s="1159">
        <v>11</v>
      </c>
    </row>
    <row customHeight="1" ht="0">
      <c r="A57" s="1271" t="s">
        <v>194</v>
      </c>
      <c r="B57" s="1271" t="s">
        <v>195</v>
      </c>
      <c r="C57" s="1271" t="s">
        <v>196</v>
      </c>
      <c r="D57" s="1271" t="s">
        <v>197</v>
      </c>
      <c r="E57" s="2294"/>
      <c r="F57" s="2294"/>
      <c r="G57" s="2294"/>
      <c r="H57" s="2315"/>
      <c r="I57" s="2105"/>
      <c r="J57" s="2105"/>
      <c r="K57" s="2105"/>
      <c r="L57" s="2131"/>
      <c r="M57" s="1314"/>
      <c r="Q57" s="2261"/>
      <c r="R57" s="2261"/>
      <c r="S57" s="522"/>
      <c r="T57" s="361"/>
      <c r="U57" s="1346"/>
      <c r="V57" s="304"/>
      <c r="W57" s="304"/>
      <c r="X57" s="329"/>
      <c r="Y57" s="329"/>
      <c r="Z57" s="329"/>
      <c r="AA57" s="329"/>
      <c r="AB57" s="1410" t="str">
        <f>AC55&amp;"-"&amp;AE55</f>
        <v>-</v>
      </c>
      <c r="AC57" s="2313"/>
      <c r="AD57" s="2111"/>
      <c r="AE57" s="2313"/>
      <c r="AF57" s="2111"/>
      <c r="AG57" s="1386"/>
      <c r="AH57" s="329"/>
      <c r="AI57" s="329"/>
      <c r="AJ57" s="329"/>
      <c r="AK57" s="332" t="str">
        <f>AL55&amp;"-"&amp;AN55</f>
        <v>-</v>
      </c>
      <c r="AL57" s="2313"/>
      <c r="AM57" s="2111"/>
      <c r="AN57" s="2313"/>
      <c r="AO57" s="2111"/>
      <c r="AP57" s="1353"/>
      <c r="AQ57" s="2258"/>
      <c r="AS57" s="504"/>
      <c r="AT57" s="504" t="str">
        <f>IF(V57="","",V57)</f>
        <v/>
      </c>
      <c r="AU57" s="504"/>
      <c r="AV57" s="504"/>
      <c r="AW57" s="1159">
        <v>0</v>
      </c>
    </row>
    <row customHeight="1" ht="11.549999999999999">
      <c r="A58" s="1271" t="s">
        <v>194</v>
      </c>
      <c r="B58" s="1271" t="s">
        <v>195</v>
      </c>
      <c r="C58" s="1271" t="s">
        <v>196</v>
      </c>
      <c r="D58" s="1271" t="s">
        <v>197</v>
      </c>
      <c r="E58" s="2294"/>
      <c r="F58" s="2294"/>
      <c r="G58" s="2294"/>
      <c r="H58" s="2315"/>
      <c r="I58" s="2105"/>
      <c r="J58" s="2105"/>
      <c r="K58" s="2131"/>
      <c r="L58" s="1271"/>
      <c r="M58" s="1314"/>
      <c r="Q58" s="2261"/>
      <c r="R58" s="2261"/>
      <c r="S58" s="1335"/>
      <c r="T58" s="360"/>
      <c r="U58" s="1282"/>
      <c r="V58" s="292" t="s">
        <v>472</v>
      </c>
      <c r="W58" s="371"/>
      <c r="X58" s="371"/>
      <c r="Y58" s="371"/>
      <c r="Z58" s="371"/>
      <c r="AA58" s="371"/>
      <c r="AB58" s="371"/>
      <c r="AC58" s="2313"/>
      <c r="AD58" s="2111"/>
      <c r="AE58" s="2313"/>
      <c r="AF58" s="2111"/>
      <c r="AG58" s="371"/>
      <c r="AH58" s="371"/>
      <c r="AI58" s="371"/>
      <c r="AJ58" s="371"/>
      <c r="AK58" s="371"/>
      <c r="AL58" s="2313"/>
      <c r="AM58" s="2111"/>
      <c r="AN58" s="2313"/>
      <c r="AO58" s="2111"/>
      <c r="AP58" s="328"/>
      <c r="AQ58" s="2258"/>
      <c r="AS58" s="504"/>
      <c r="AT58" s="504" t="str">
        <f>IF(V58="","",V58)</f>
        <v>Добавить наименование поставщика</v>
      </c>
      <c r="AU58" s="504"/>
      <c r="AV58" s="504"/>
      <c r="AW58" s="1159">
        <v>11</v>
      </c>
    </row>
    <row customHeight="1" ht="11.549999999999999">
      <c r="A59" s="1271" t="s">
        <v>194</v>
      </c>
      <c r="B59" s="1271" t="s">
        <v>195</v>
      </c>
      <c r="C59" s="1271" t="s">
        <v>196</v>
      </c>
      <c r="D59" s="1271" t="s">
        <v>197</v>
      </c>
      <c r="E59" s="2294"/>
      <c r="F59" s="2294"/>
      <c r="G59" s="2294"/>
      <c r="H59" s="2315"/>
      <c r="I59" s="2105"/>
      <c r="J59" s="2131"/>
      <c r="K59" s="1271"/>
      <c r="L59" s="1271"/>
      <c r="M59" s="1314"/>
      <c r="Q59" s="2261"/>
      <c r="R59" s="2261"/>
      <c r="S59" s="1335"/>
      <c r="T59" s="360"/>
      <c r="U59" s="1282"/>
      <c r="V59" s="291" t="s">
        <v>429</v>
      </c>
      <c r="W59" s="371"/>
      <c r="X59" s="371"/>
      <c r="Y59" s="371"/>
      <c r="Z59" s="371"/>
      <c r="AA59" s="371"/>
      <c r="AB59" s="371"/>
      <c r="AC59" s="1412"/>
      <c r="AD59" s="1412"/>
      <c r="AE59" s="1412"/>
      <c r="AF59" s="1412"/>
      <c r="AG59" s="371"/>
      <c r="AH59" s="371"/>
      <c r="AI59" s="371"/>
      <c r="AJ59" s="371"/>
      <c r="AK59" s="371"/>
      <c r="AL59" s="371"/>
      <c r="AM59" s="371"/>
      <c r="AN59" s="371"/>
      <c r="AO59" s="371"/>
      <c r="AP59" s="328"/>
      <c r="AQ59" s="2259"/>
      <c r="AS59" s="504"/>
      <c r="AT59" s="504" t="str">
        <f>IF(V59="","",V59)</f>
        <v>Добавить вид теплоносителя (параметры теплоносителя)</v>
      </c>
      <c r="AU59" s="504"/>
      <c r="AV59" s="504"/>
      <c r="AW59" s="1159">
        <v>11</v>
      </c>
    </row>
    <row customHeight="1" ht="11.549999999999999">
      <c r="A60" s="1271" t="s">
        <v>194</v>
      </c>
      <c r="B60" s="1271" t="s">
        <v>195</v>
      </c>
      <c r="C60" s="1271" t="s">
        <v>196</v>
      </c>
      <c r="D60" s="1271" t="s">
        <v>197</v>
      </c>
      <c r="E60" s="2294"/>
      <c r="F60" s="2294"/>
      <c r="G60" s="2294"/>
      <c r="H60" s="2315"/>
      <c r="I60" s="2131"/>
      <c r="J60" s="1271"/>
      <c r="K60" s="1271"/>
      <c r="L60" s="1271"/>
      <c r="M60" s="1314"/>
      <c r="Q60" s="2261"/>
      <c r="R60" s="1335"/>
      <c r="S60" s="1335"/>
      <c r="T60" s="360"/>
      <c r="U60" s="1282"/>
      <c r="V60" s="369" t="s">
        <v>430</v>
      </c>
      <c r="W60" s="371"/>
      <c r="X60" s="371"/>
      <c r="Y60" s="371"/>
      <c r="Z60" s="371"/>
      <c r="AA60" s="371"/>
      <c r="AB60" s="371"/>
      <c r="AC60" s="371"/>
      <c r="AD60" s="371"/>
      <c r="AE60" s="371"/>
      <c r="AF60" s="370"/>
      <c r="AG60" s="371"/>
      <c r="AH60" s="371"/>
      <c r="AI60" s="371"/>
      <c r="AJ60" s="371"/>
      <c r="AK60" s="371"/>
      <c r="AL60" s="371"/>
      <c r="AM60" s="371"/>
      <c r="AN60" s="371"/>
      <c r="AO60" s="370"/>
      <c r="AP60" s="371"/>
      <c r="AQ60" s="307"/>
      <c r="AS60" s="504"/>
      <c r="AT60" s="504" t="str">
        <f>IF(V60="","",V60)</f>
        <v>Добавить группу потребителей</v>
      </c>
      <c r="AU60" s="504"/>
      <c r="AV60" s="504"/>
      <c r="AW60" s="1159">
        <v>11</v>
      </c>
    </row>
    <row customHeight="1" ht="0">
      <c r="A61" s="1271" t="s">
        <v>194</v>
      </c>
      <c r="B61" s="1271" t="s">
        <v>195</v>
      </c>
      <c r="C61" s="1271" t="s">
        <v>196</v>
      </c>
      <c r="D61" s="1271" t="s">
        <v>197</v>
      </c>
      <c r="E61" s="2294"/>
      <c r="F61" s="2294"/>
      <c r="G61" s="2294"/>
      <c r="H61" s="2314"/>
      <c r="I61" s="1271"/>
      <c r="J61" s="1271"/>
      <c r="K61" s="1271"/>
      <c r="L61" s="1271"/>
      <c r="M61" s="1314"/>
      <c r="N61" s="692"/>
      <c r="O61" s="692"/>
      <c r="P61" s="513"/>
      <c r="Q61" s="364"/>
      <c r="R61" s="379"/>
      <c r="S61" s="359"/>
      <c r="T61" s="364"/>
      <c r="U61" s="1390"/>
      <c r="V61" s="1391"/>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3"/>
      <c r="AS61" s="504"/>
      <c r="AT61" s="504" t="str">
        <f>IF(V61="","",V61)</f>
        <v/>
      </c>
      <c r="AU61" s="504"/>
      <c r="AV61" s="504"/>
      <c r="AW61" s="1159">
        <v>0</v>
      </c>
    </row>
    <row s="1646" customFormat="1" customHeight="1" ht="0">
      <c r="A62" s="1379" t="s">
        <v>194</v>
      </c>
      <c r="B62" s="1379" t="s">
        <v>195</v>
      </c>
      <c r="C62" s="1379" t="s">
        <v>196</v>
      </c>
      <c r="D62" s="1378"/>
      <c r="E62" s="2294"/>
      <c r="F62" s="2294"/>
      <c r="G62" s="2293"/>
      <c r="H62" s="1378"/>
      <c r="I62" s="1378"/>
      <c r="J62" s="1378"/>
      <c r="K62" s="1378"/>
      <c r="L62" s="1378"/>
      <c r="M62" s="1381"/>
      <c r="N62" s="1382"/>
      <c r="O62" s="1382"/>
      <c r="P62" s="355"/>
      <c r="Q62" s="1320"/>
      <c r="R62" s="1321"/>
      <c r="S62" s="1320"/>
      <c r="T62" s="1320"/>
      <c r="U62" s="1326"/>
      <c r="V62" s="1329" t="s">
        <v>432</v>
      </c>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S62" s="793"/>
      <c r="AT62" s="793" t="str">
        <f>IF(V62="","",V62)</f>
        <v>Добавить источник для дифференциации</v>
      </c>
      <c r="AU62" s="793"/>
      <c r="AV62" s="793"/>
      <c r="AW62" s="522">
        <v>0</v>
      </c>
    </row>
    <row s="1646" customFormat="1" customHeight="1" ht="0">
      <c r="A63" s="1379" t="s">
        <v>194</v>
      </c>
      <c r="B63" s="1379" t="s">
        <v>195</v>
      </c>
      <c r="C63" s="1378"/>
      <c r="D63" s="1378"/>
      <c r="E63" s="2294"/>
      <c r="F63" s="2293"/>
      <c r="G63" s="1378"/>
      <c r="H63" s="1378"/>
      <c r="I63" s="1378"/>
      <c r="J63" s="1378"/>
      <c r="K63" s="1378"/>
      <c r="L63" s="1378"/>
      <c r="M63" s="1381"/>
      <c r="N63" s="1383"/>
      <c r="O63" s="1383"/>
      <c r="P63" s="355"/>
      <c r="Q63" s="1320"/>
      <c r="R63" s="1321"/>
      <c r="S63" s="1320"/>
      <c r="T63" s="1320"/>
      <c r="U63" s="1326"/>
      <c r="V63" s="1329" t="s">
        <v>433</v>
      </c>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S63" s="793"/>
      <c r="AT63" s="793" t="str">
        <f>IF(V63="","",V63)</f>
        <v>Добавить централизованную систему для дифференциации</v>
      </c>
      <c r="AU63" s="793"/>
      <c r="AV63" s="793"/>
      <c r="AW63" s="522">
        <v>0</v>
      </c>
    </row>
    <row s="1646" customFormat="1" customHeight="1" ht="0">
      <c r="A64" s="1379" t="s">
        <v>194</v>
      </c>
      <c r="B64" s="1379"/>
      <c r="C64" s="1379"/>
      <c r="D64" s="1379"/>
      <c r="E64" s="2293"/>
      <c r="F64" s="1379"/>
      <c r="G64" s="1379"/>
      <c r="H64" s="1379"/>
      <c r="I64" s="1379"/>
      <c r="J64" s="1379"/>
      <c r="K64" s="1379"/>
      <c r="L64" s="1379"/>
      <c r="M64" s="1385"/>
      <c r="N64" s="1383"/>
      <c r="O64" s="1383"/>
      <c r="P64" s="355"/>
      <c r="Q64" s="384"/>
      <c r="R64" s="1348"/>
      <c r="S64" s="384"/>
      <c r="T64" s="384"/>
      <c r="U64" s="1326"/>
      <c r="V64" s="1329" t="s">
        <v>434</v>
      </c>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S64" s="504"/>
      <c r="AT64" s="504" t="str">
        <f>IF(V64="","",V64)</f>
        <v>Добавить территорию для дифференциации</v>
      </c>
      <c r="AU64" s="504"/>
      <c r="AV64" s="504"/>
      <c r="AW64" s="515">
        <v>0</v>
      </c>
    </row>
    <row s="1646" customFormat="1" customHeight="1" ht="4.2">
      <c r="A65" s="1378"/>
      <c r="B65" s="1378"/>
      <c r="C65" s="1378"/>
      <c r="D65" s="1378"/>
      <c r="E65" s="1379"/>
      <c r="F65" s="1378"/>
      <c r="G65" s="1378"/>
      <c r="H65" s="1378"/>
      <c r="I65" s="1378"/>
      <c r="J65" s="1378"/>
      <c r="K65" s="1378"/>
      <c r="L65" s="1378"/>
      <c r="M65" s="1381"/>
      <c r="N65" s="1383"/>
      <c r="O65" s="1383"/>
      <c r="P65" s="355"/>
      <c r="Q65" s="1320"/>
      <c r="R65" s="1321"/>
      <c r="S65" s="1320"/>
      <c r="T65" s="1320"/>
      <c r="U65" s="1326"/>
      <c r="V65" s="1329" t="s">
        <v>466</v>
      </c>
      <c r="W65" s="1328"/>
      <c r="X65" s="1328"/>
      <c r="Y65" s="1328"/>
      <c r="Z65" s="1328"/>
      <c r="AA65" s="1328"/>
      <c r="AB65" s="1328"/>
      <c r="AC65" s="1328"/>
      <c r="AD65" s="1328"/>
      <c r="AE65" s="1328"/>
      <c r="AF65" s="1328"/>
      <c r="AG65" s="1328"/>
      <c r="AH65" s="1328"/>
      <c r="AI65" s="1328"/>
      <c r="AJ65" s="1328"/>
      <c r="AK65" s="1328"/>
      <c r="AL65" s="1328"/>
      <c r="AM65" s="1328"/>
      <c r="AN65" s="1328"/>
      <c r="AO65" s="1328"/>
      <c r="AP65" s="1328"/>
      <c r="AQ65" s="1328"/>
      <c r="AS65" s="793"/>
      <c r="AT65" s="793" t="str">
        <f>IF(V65="","",V65)</f>
        <v>Добавить наименование тарифа</v>
      </c>
      <c r="AU65" s="793"/>
      <c r="AV65" s="793"/>
      <c r="AW65" s="522">
        <v>4</v>
      </c>
    </row>
    <row customHeight="1" ht="11.549999999999999">
      <c r="N66" s="1159"/>
      <c r="O66" s="1159"/>
      <c r="P66" s="513"/>
      <c r="Q66" s="1159"/>
      <c r="R66" s="1159"/>
      <c r="S66" s="1159"/>
      <c r="T66" s="1159"/>
      <c r="U66" s="1159"/>
      <c r="AR66" s="1159"/>
      <c r="AS66" s="1159"/>
      <c r="AT66" s="1159"/>
      <c r="AU66" s="1159"/>
      <c r="AV66" s="1159"/>
      <c r="AW66" s="1159">
        <v>11</v>
      </c>
    </row>
    <row customHeight="1" ht="35.699999999999996">
      <c r="P67" s="513"/>
      <c r="U67" s="1257"/>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W67" s="1159">
        <v>34</v>
      </c>
    </row>
    <row customHeight="1" ht="21">
      <c r="P68" s="513"/>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W68" s="1159">
        <v>20</v>
      </c>
    </row>
    <row customHeight="1" ht="14.699999999999998">
      <c r="P69" s="513"/>
      <c r="AW69" s="1159">
        <v>14</v>
      </c>
    </row>
    <row customHeight="1" ht="28.5">
      <c r="P70" s="513"/>
      <c r="V70" s="2289"/>
      <c r="W70" s="2289"/>
      <c r="X70" s="2289"/>
      <c r="Y70" s="2289"/>
      <c r="Z70" s="2289"/>
      <c r="AA70" s="2289"/>
      <c r="AB70" s="2289"/>
      <c r="AC70" s="2289"/>
      <c r="AD70" s="2289"/>
      <c r="AE70" s="2289"/>
      <c r="AF70" s="2289"/>
      <c r="AG70" s="2289"/>
      <c r="AH70" s="2289"/>
      <c r="AI70" s="2289"/>
      <c r="AJ70" s="2289"/>
      <c r="AK70" s="2289"/>
      <c r="AL70" s="2289"/>
      <c r="AM70" s="2289"/>
      <c r="AN70" s="2289"/>
      <c r="AO70" s="2289"/>
      <c r="AP70" s="2289"/>
      <c r="AQ70" s="2289"/>
      <c r="AW70" s="1159">
        <v>27</v>
      </c>
    </row>
    <row customHeight="1" ht="18.75">
      <c r="P71" s="513"/>
      <c r="V71" s="2289"/>
      <c r="W71" s="2289"/>
      <c r="X71" s="2289"/>
      <c r="Y71" s="2289"/>
      <c r="Z71" s="2289"/>
      <c r="AA71" s="2289"/>
      <c r="AB71" s="2289"/>
      <c r="AC71" s="2289"/>
      <c r="AD71" s="2289"/>
      <c r="AE71" s="2289"/>
      <c r="AF71" s="2289"/>
      <c r="AG71" s="2289"/>
      <c r="AH71" s="2289"/>
      <c r="AI71" s="2289"/>
      <c r="AJ71" s="2289"/>
      <c r="AK71" s="2289"/>
      <c r="AL71" s="2289"/>
      <c r="AM71" s="2289"/>
      <c r="AN71" s="2289"/>
      <c r="AO71" s="2289"/>
      <c r="AP71" s="2289"/>
      <c r="AQ71" s="2289"/>
      <c r="AW71" s="1159">
        <v>18</v>
      </c>
    </row>
    <row customHeight="1" ht="22.5" hidden="1">
      <c r="A72" s="1159" t="s">
        <v>82</v>
      </c>
      <c r="B72" s="1159">
        <v>0</v>
      </c>
      <c r="C72" s="1159">
        <v>0</v>
      </c>
      <c r="D72" s="1159">
        <v>0</v>
      </c>
      <c r="E72" s="1159">
        <v>0</v>
      </c>
      <c r="F72" s="1159">
        <v>0</v>
      </c>
      <c r="G72" s="1159">
        <v>0</v>
      </c>
      <c r="H72" s="1159">
        <v>0</v>
      </c>
      <c r="I72" s="1159">
        <v>0</v>
      </c>
      <c r="J72" s="1159">
        <v>0</v>
      </c>
      <c r="K72" s="1159">
        <v>0</v>
      </c>
      <c r="L72" s="1159">
        <v>0</v>
      </c>
      <c r="M72" s="1331">
        <v>0</v>
      </c>
      <c r="N72" s="1332">
        <v>0</v>
      </c>
      <c r="O72" s="1332">
        <v>0</v>
      </c>
      <c r="P72" s="1332">
        <v>0</v>
      </c>
      <c r="Q72" s="1332">
        <v>0</v>
      </c>
      <c r="R72" s="348">
        <v>3</v>
      </c>
      <c r="S72" s="348">
        <v>3</v>
      </c>
      <c r="T72" s="348">
        <v>3</v>
      </c>
      <c r="U72" s="585">
        <v>12</v>
      </c>
      <c r="V72" s="1159">
        <v>31</v>
      </c>
      <c r="W72" s="1159">
        <v>0</v>
      </c>
      <c r="X72" s="1159">
        <v>0</v>
      </c>
      <c r="Y72" s="1159">
        <v>0</v>
      </c>
      <c r="Z72" s="1159">
        <v>0</v>
      </c>
      <c r="AA72" s="1159">
        <v>0</v>
      </c>
      <c r="AB72" s="1159">
        <v>0</v>
      </c>
      <c r="AC72" s="1159">
        <v>0</v>
      </c>
      <c r="AD72" s="1159">
        <v>0</v>
      </c>
      <c r="AE72" s="1159">
        <v>0</v>
      </c>
      <c r="AF72" s="1159">
        <v>0</v>
      </c>
      <c r="AG72" s="1159">
        <v>21</v>
      </c>
      <c r="AH72" s="1159">
        <v>21</v>
      </c>
      <c r="AI72" s="1159">
        <v>21</v>
      </c>
      <c r="AJ72" s="1159">
        <v>21</v>
      </c>
      <c r="AK72" s="1159">
        <v>21</v>
      </c>
      <c r="AL72" s="1159">
        <v>11</v>
      </c>
      <c r="AM72" s="1159">
        <v>3</v>
      </c>
      <c r="AN72" s="1159">
        <v>11</v>
      </c>
      <c r="AO72" s="1159">
        <v>8</v>
      </c>
      <c r="AP72" s="1159">
        <v>4</v>
      </c>
      <c r="AQ72" s="1159">
        <v>115</v>
      </c>
      <c r="AR72" s="515">
        <v>10</v>
      </c>
      <c r="AS72" s="515">
        <v>10</v>
      </c>
      <c r="AT72" s="515">
        <v>10</v>
      </c>
      <c r="AU72" s="515">
        <v>10</v>
      </c>
      <c r="AV72" s="515">
        <v>10</v>
      </c>
      <c r="AW72" s="115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E3FB78E-F2C2-DDB6-EBEE-59F6EB0C31F7}" mc:Ignorable="x14ac xr xr2 xr3">
  <sheetPr>
    <tabColor rgb="FFCCCCFF"/>
  </sheetPr>
  <dimension ref="A1:Q79"/>
  <sheetViews>
    <sheetView topLeftCell="C17" showGridLines="0" zoomScale="90" workbookViewId="0">
      <selection activeCell="F60" sqref="F60"/>
    </sheetView>
  </sheetViews>
  <sheetFormatPr defaultColWidth="9.140625" customHeight="1" defaultRowHeight="11.25"/>
  <cols>
    <col min="1" max="1" style="791" width="10.7109375" hidden="1" customWidth="1"/>
    <col min="2" max="2" style="736" width="10.7109375" hidden="1" customWidth="1"/>
    <col min="3" max="3" style="534" width="3.00390625" customWidth="1"/>
    <col min="4" max="4" style="1639" width="1.00390625" customWidth="1"/>
    <col min="5" max="6" style="1639" width="55.00390625" customWidth="1"/>
    <col min="7" max="7" style="2129" width="1.00390625" customWidth="1"/>
    <col min="8" max="8" style="1639" width="18.00390625" hidden="1" customWidth="1"/>
    <col min="9" max="9" style="535" width="59.00390625" customWidth="1"/>
    <col min="10" max="10" style="1370" width="52.140625" hidden="1" customWidth="1"/>
    <col min="11" max="11" style="1639" width="8.00390625" customWidth="1"/>
    <col min="12" max="12" style="1639" width="77.00390625" customWidth="1"/>
    <col min="13" max="16" style="1639" width="8.00390625" customWidth="1"/>
    <col min="17" max="17" style="1639" width="12.00390625" hidden="1" customWidth="1"/>
  </cols>
  <sheetData>
    <row s="626" customFormat="1" customHeight="1" ht="3">
      <c r="A1" s="787"/>
      <c r="B1" s="245"/>
      <c r="F1" s="246" t="s">
        <v>13</v>
      </c>
      <c r="G1" s="415"/>
      <c r="H1" s="75"/>
      <c r="I1" s="415"/>
      <c r="J1" s="875"/>
      <c r="Q1" s="246" t="s">
        <v>14</v>
      </c>
    </row>
    <row s="1636" customFormat="1" customHeight="1" ht="14.25">
      <c r="A2" s="787"/>
      <c r="B2" s="102"/>
      <c r="E2" s="1744" t="str">
        <f>code</f>
        <v>Код отчёта: PP110.OPEN.INFO.BALANCE.HEAT.EIAS</v>
      </c>
      <c r="F2" s="273"/>
      <c r="G2" s="249"/>
      <c r="H2" s="249"/>
      <c r="I2" s="249"/>
      <c r="J2" s="876"/>
      <c r="K2" s="249"/>
      <c r="Q2" s="75">
        <v>14</v>
      </c>
    </row>
    <row customHeight="1" ht="14.699999999999998">
      <c r="E3" s="250" t="str">
        <f>version</f>
        <v>Версия отчёта: 1.1.3</v>
      </c>
      <c r="F3" s="273"/>
      <c r="G3" s="774"/>
      <c r="H3" s="774"/>
      <c r="I3" s="774"/>
      <c r="J3" s="877"/>
      <c r="K3" s="92"/>
      <c r="Q3" s="78">
        <v>14</v>
      </c>
    </row>
    <row s="1616" customFormat="1" customHeight="1" ht="6.3">
      <c r="A4" s="788"/>
      <c r="B4" s="236"/>
      <c r="C4" s="237"/>
      <c r="D4" s="238"/>
      <c r="E4" s="247"/>
      <c r="F4" s="248"/>
      <c r="G4" s="775"/>
      <c r="H4" s="413"/>
      <c r="I4" s="415"/>
      <c r="J4" s="878"/>
      <c r="Q4" s="240">
        <v>6</v>
      </c>
    </row>
    <row customHeight="1" ht="39.75">
      <c r="D5" s="79"/>
      <c r="E5" s="2099"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00"/>
      <c r="G5" s="776"/>
      <c r="J5" s="879"/>
      <c r="Q5" s="78">
        <v>38</v>
      </c>
    </row>
    <row s="1616" customFormat="1" customHeight="1" ht="6.3">
      <c r="A6" s="788"/>
      <c r="B6" s="236"/>
      <c r="C6" s="237"/>
      <c r="D6" s="238"/>
      <c r="E6" s="241"/>
      <c r="F6" s="242"/>
      <c r="G6" s="776"/>
      <c r="H6" s="413"/>
      <c r="I6" s="415"/>
      <c r="J6" s="878"/>
      <c r="Q6" s="240">
        <v>6</v>
      </c>
    </row>
    <row customHeight="1" ht="21">
      <c r="D7" s="79"/>
      <c r="E7" s="395" t="s">
        <v>15</v>
      </c>
      <c r="F7" s="219" t="s">
        <v>16</v>
      </c>
      <c r="G7" s="776"/>
      <c r="Q7" s="78">
        <v>20</v>
      </c>
    </row>
    <row s="1616" customFormat="1" customHeight="1" ht="6.3">
      <c r="A8" s="789"/>
      <c r="B8" s="236"/>
      <c r="C8" s="237"/>
      <c r="D8" s="243"/>
      <c r="E8" s="241"/>
      <c r="F8" s="244"/>
      <c r="G8" s="81"/>
      <c r="H8" s="413"/>
      <c r="I8" s="415"/>
      <c r="J8" s="881"/>
      <c r="Q8" s="240">
        <v>6</v>
      </c>
    </row>
    <row s="1639" customFormat="1" customHeight="1" ht="19.5" hidden="1">
      <c r="A9" s="788"/>
      <c r="B9" s="102"/>
      <c r="C9" s="412"/>
      <c r="D9" s="414"/>
      <c r="E9" s="1169" t="s">
        <v>17</v>
      </c>
      <c r="F9" s="1925"/>
      <c r="G9" s="776"/>
      <c r="I9" s="1904" t="str">
        <f>IF(TITLE_STRUCTURE_INFO_ROIV="","","раскрывается "&amp;INDEX(ROIV_INFO_COMMENT,MATCH(TITLE_STRUCTURE_INFO_ROIV,ROIV_INFO_LIST,0)))</f>
        <v/>
      </c>
      <c r="J9" s="880"/>
      <c r="Q9" s="413">
        <v>0</v>
      </c>
    </row>
    <row s="1616" customFormat="1" customHeight="1" ht="24" hidden="1">
      <c r="A10" s="789"/>
      <c r="B10" s="430"/>
      <c r="C10" s="431"/>
      <c r="D10" s="243"/>
      <c r="E10" s="1169" t="s">
        <v>18</v>
      </c>
      <c r="F10" s="2070" t="s">
        <v>19</v>
      </c>
      <c r="G10" s="81"/>
      <c r="H10" s="413"/>
      <c r="I10" s="415"/>
      <c r="J10" s="881"/>
      <c r="Q10" s="434">
        <v>24</v>
      </c>
    </row>
    <row customHeight="1" ht="22.5" hidden="1">
      <c r="A11" s="2102" t="s">
        <v>20</v>
      </c>
      <c r="D11" s="79"/>
      <c r="E11" s="1169" t="s">
        <v>21</v>
      </c>
      <c r="F11" s="1736" t="s">
        <v>22</v>
      </c>
      <c r="G11" s="81"/>
      <c r="H11" s="777" t="s">
        <v>23</v>
      </c>
      <c r="J11" s="880" t="s">
        <v>24</v>
      </c>
      <c r="Q11" s="78">
        <v>0</v>
      </c>
    </row>
    <row customHeight="1" ht="22.5" hidden="1">
      <c r="A12" s="2102"/>
      <c r="D12" s="79"/>
      <c r="E12" s="1169" t="s">
        <v>25</v>
      </c>
      <c r="F12" s="1736"/>
      <c r="G12" s="77"/>
      <c r="J12" s="880" t="s">
        <v>26</v>
      </c>
      <c r="Q12" s="78">
        <v>0</v>
      </c>
    </row>
    <row s="1639" customFormat="1" customHeight="1" ht="22.5" hidden="1">
      <c r="A13" s="792" t="s">
        <v>27</v>
      </c>
      <c r="B13" s="102"/>
      <c r="C13" s="412"/>
      <c r="D13" s="414"/>
      <c r="E13" s="1779" t="s">
        <v>28</v>
      </c>
      <c r="F13" s="1736" t="s">
        <v>22</v>
      </c>
      <c r="G13" s="81"/>
      <c r="H13" s="774"/>
      <c r="I13" s="415"/>
      <c r="J13" s="1780" t="s">
        <v>29</v>
      </c>
      <c r="Q13" s="413">
        <v>0</v>
      </c>
    </row>
    <row s="1639" customFormat="1" customHeight="1" ht="27">
      <c r="A14" s="792" t="s">
        <v>30</v>
      </c>
      <c r="B14" s="102"/>
      <c r="C14" s="412"/>
      <c r="D14" s="414"/>
      <c r="E14" s="1169" t="s">
        <v>31</v>
      </c>
      <c r="F14" s="1771">
        <v>2023</v>
      </c>
      <c r="G14" s="81"/>
      <c r="H14" s="774"/>
      <c r="I14" s="415"/>
      <c r="J14" s="880" t="s">
        <v>32</v>
      </c>
      <c r="Q14" s="413">
        <v>0</v>
      </c>
    </row>
    <row s="1639" customFormat="1" customHeight="1" ht="19.5" hidden="1">
      <c r="A15" s="792" t="s">
        <v>33</v>
      </c>
      <c r="B15" s="102"/>
      <c r="C15" s="412"/>
      <c r="D15" s="414"/>
      <c r="E15" s="1169" t="s">
        <v>34</v>
      </c>
      <c r="F15" s="1771"/>
      <c r="G15" s="81"/>
      <c r="H15" s="774"/>
      <c r="I15" s="415"/>
      <c r="J15" s="880" t="s">
        <v>35</v>
      </c>
      <c r="Q15" s="413">
        <v>0</v>
      </c>
    </row>
    <row s="1616" customFormat="1" customHeight="1" ht="6.3">
      <c r="A16" s="789"/>
      <c r="B16" s="236"/>
      <c r="C16" s="237"/>
      <c r="D16" s="243"/>
      <c r="E16" s="241"/>
      <c r="F16" s="244"/>
      <c r="G16" s="81"/>
      <c r="H16" s="413"/>
      <c r="I16" s="415"/>
      <c r="J16" s="878"/>
      <c r="Q16" s="240">
        <v>6</v>
      </c>
    </row>
    <row customHeight="1" ht="21">
      <c r="D17" s="79"/>
      <c r="E17" s="395" t="s">
        <v>36</v>
      </c>
      <c r="F17" s="220" t="s">
        <v>37</v>
      </c>
      <c r="G17" s="77"/>
      <c r="H17" s="777" t="s">
        <v>23</v>
      </c>
      <c r="Q17" s="78">
        <v>20</v>
      </c>
    </row>
    <row customHeight="1" ht="25.5" hidden="1">
      <c r="D18" s="79"/>
      <c r="E18" s="1779" t="s">
        <v>38</v>
      </c>
      <c r="F18" s="1737"/>
      <c r="G18" s="77"/>
      <c r="I18" s="778"/>
      <c r="J18" s="2101" t="s">
        <v>39</v>
      </c>
      <c r="Q18" s="78">
        <v>0</v>
      </c>
    </row>
    <row customHeight="1" ht="25.5" hidden="1">
      <c r="D19" s="79"/>
      <c r="E19" s="116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7"/>
      <c r="G19" s="77"/>
      <c r="I19" s="778"/>
      <c r="J19" s="2101"/>
      <c r="Q19" s="78">
        <v>0</v>
      </c>
    </row>
    <row customHeight="1" ht="22.5" hidden="1">
      <c r="D20" s="79"/>
      <c r="E20" s="80"/>
      <c r="F20" s="274" t="str">
        <f>"Первичное "&amp;IF(TEMPLATE_GROUP="P","установление тарифов","предложение по тарифам")</f>
        <v>Первичное предложение по тарифам</v>
      </c>
      <c r="G20" s="77"/>
      <c r="I20" s="398"/>
      <c r="J20" s="879" t="s">
        <v>40</v>
      </c>
      <c r="Q20" s="78">
        <v>0</v>
      </c>
    </row>
    <row customHeight="1" ht="19.5" hidden="1">
      <c r="D21" s="79"/>
      <c r="E21" s="395" t="str">
        <f>"Дата "&amp;IF(TEMPLATE_GROUP="P","документа","подачи заявления")&amp;" об утверждении тарифов"</f>
        <v>Дата подачи заявления об утверждении тарифов</v>
      </c>
      <c r="F21" s="1736"/>
      <c r="G21" s="77"/>
      <c r="I21" s="779"/>
      <c r="Q21" s="78">
        <v>0</v>
      </c>
    </row>
    <row customHeight="1" ht="19.5" hidden="1">
      <c r="D22" s="79"/>
      <c r="E22" s="395" t="str">
        <f>"Номер "&amp;IF(TEMPLATE_GROUP="P","документа","подачи заявления")&amp;" об утверждении тарифов"</f>
        <v>Номер подачи заявления об утверждении тарифов</v>
      </c>
      <c r="F22" s="220"/>
      <c r="G22" s="77"/>
      <c r="I22" s="779"/>
      <c r="Q22" s="78">
        <v>0</v>
      </c>
    </row>
    <row customHeight="1" ht="22.5" hidden="1">
      <c r="D23" s="79"/>
      <c r="E23" s="395" t="s">
        <v>41</v>
      </c>
      <c r="F23" s="220"/>
      <c r="G23" s="77"/>
      <c r="Q23" s="78">
        <v>0</v>
      </c>
    </row>
    <row customHeight="1" ht="19.5" hidden="1">
      <c r="D24" s="79"/>
      <c r="E24" s="395" t="s">
        <v>42</v>
      </c>
      <c r="F24" s="220"/>
      <c r="G24" s="77"/>
      <c r="Q24" s="78">
        <v>0</v>
      </c>
    </row>
    <row customHeight="1" ht="22.5" hidden="1">
      <c r="D25" s="79"/>
      <c r="E25" s="80"/>
      <c r="F25" s="274" t="str">
        <f>"Изменение "&amp;IF(TEMPLATE_GROUP="P","тарифов","предложения по тарифам")</f>
        <v>Изменение предложения по тарифам</v>
      </c>
      <c r="G25" s="77"/>
      <c r="J25" s="879" t="s">
        <v>43</v>
      </c>
      <c r="Q25" s="78">
        <v>0</v>
      </c>
    </row>
    <row customHeight="1" ht="19.5" hidden="1">
      <c r="D26" s="79"/>
      <c r="E26" s="395" t="str">
        <f>"Дата "&amp;IF(TEMPLATE_GROUP="P","принятия решения","подачи заявления")&amp;" об изменении тарифов"</f>
        <v>Дата подачи заявления об изменении тарифов</v>
      </c>
      <c r="F26" s="1737"/>
      <c r="G26" s="77"/>
      <c r="Q26" s="78">
        <v>0</v>
      </c>
    </row>
    <row customHeight="1" ht="19.5" hidden="1">
      <c r="D27" s="79"/>
      <c r="E27" s="1169" t="str">
        <f>"Номер "&amp;IF(TEMPLATE_GROUP="P","принятия решения","заявления")&amp;" об изменении тарифов"</f>
        <v>Номер заявления об изменении тарифов</v>
      </c>
      <c r="F27" s="222"/>
      <c r="G27" s="77"/>
      <c r="Q27" s="78">
        <v>0</v>
      </c>
    </row>
    <row customHeight="1" ht="24.75" hidden="1">
      <c r="D28" s="79"/>
      <c r="E28" s="395" t="s">
        <v>44</v>
      </c>
      <c r="F28" s="222"/>
      <c r="G28" s="77"/>
      <c r="Q28" s="78">
        <v>0</v>
      </c>
    </row>
    <row customHeight="1" ht="19.5" hidden="1">
      <c r="D29" s="79"/>
      <c r="E29" s="395" t="s">
        <v>42</v>
      </c>
      <c r="F29" s="222"/>
      <c r="G29" s="77"/>
      <c r="Q29" s="78">
        <v>0</v>
      </c>
    </row>
    <row s="1616" customFormat="1" customHeight="1" ht="6.3">
      <c r="A30" s="789"/>
      <c r="B30" s="236"/>
      <c r="C30" s="237"/>
      <c r="D30" s="243"/>
      <c r="E30" s="241"/>
      <c r="F30" s="244"/>
      <c r="G30" s="81"/>
      <c r="H30" s="413"/>
      <c r="I30" s="415"/>
      <c r="J30" s="878"/>
      <c r="Q30" s="240">
        <v>6</v>
      </c>
    </row>
    <row customHeight="1" ht="21">
      <c r="C31" s="82"/>
      <c r="D31" s="83"/>
      <c r="E31" s="395" t="str">
        <f>"Наименование "&amp;IF(TEMPLATE_GROUP="ROIV","органа тарифного регулирования","ЮЛ / ИП")</f>
        <v>Наименование ЮЛ / ИП</v>
      </c>
      <c r="F31" s="221" t="s">
        <v>45</v>
      </c>
      <c r="G31" s="780"/>
      <c r="Q31" s="78">
        <v>20</v>
      </c>
    </row>
    <row customHeight="1" ht="21" hidden="1">
      <c r="C32" s="82"/>
      <c r="D32" s="83"/>
      <c r="E32" s="396" t="s">
        <v>46</v>
      </c>
      <c r="F32" s="221"/>
      <c r="G32" s="780"/>
      <c r="Q32" s="78">
        <v>20</v>
      </c>
    </row>
    <row customHeight="1" ht="21">
      <c r="C33" s="82"/>
      <c r="D33" s="83"/>
      <c r="E33" s="395" t="s">
        <v>47</v>
      </c>
      <c r="F33" s="221" t="s">
        <v>48</v>
      </c>
      <c r="G33" s="780"/>
      <c r="Q33" s="78">
        <v>20</v>
      </c>
    </row>
    <row customHeight="1" ht="21">
      <c r="C34" s="82"/>
      <c r="D34" s="83"/>
      <c r="E34" s="395" t="s">
        <v>49</v>
      </c>
      <c r="F34" s="221" t="s">
        <v>50</v>
      </c>
      <c r="G34" s="780"/>
      <c r="H34" s="84"/>
      <c r="Q34" s="78">
        <v>20</v>
      </c>
    </row>
    <row s="1616" customFormat="1" customHeight="1" ht="11.549999999999999">
      <c r="A35" s="789"/>
      <c r="B35" s="236"/>
      <c r="C35" s="237"/>
      <c r="D35" s="243"/>
      <c r="E35" s="241"/>
      <c r="F35" s="244"/>
      <c r="G35" s="81"/>
      <c r="H35" s="413"/>
      <c r="I35" s="415"/>
      <c r="J35" s="878"/>
      <c r="Q35" s="240">
        <v>11</v>
      </c>
    </row>
    <row customHeight="1" ht="19.5">
      <c r="A36" s="883"/>
      <c r="D36" s="83"/>
      <c r="E36" s="395" t="s">
        <v>51</v>
      </c>
      <c r="F36" s="1214" t="s">
        <v>52</v>
      </c>
      <c r="G36" s="81"/>
      <c r="Q36" s="78">
        <v>0</v>
      </c>
    </row>
    <row customHeight="1" ht="21">
      <c r="A37" s="883"/>
      <c r="D37" s="83"/>
      <c r="E37" s="395" t="s">
        <v>53</v>
      </c>
      <c r="F37" s="1214" t="s">
        <v>54</v>
      </c>
      <c r="G37" s="81"/>
      <c r="Q37" s="78">
        <v>20</v>
      </c>
    </row>
    <row s="1616" customFormat="1" customHeight="1" ht="6.3">
      <c r="A38" s="789"/>
      <c r="B38" s="236"/>
      <c r="C38" s="237"/>
      <c r="D38" s="238"/>
      <c r="E38" s="239"/>
      <c r="F38" s="1057"/>
      <c r="G38" s="77"/>
      <c r="H38" s="413"/>
      <c r="I38" s="415"/>
      <c r="J38" s="880"/>
      <c r="Q38" s="240">
        <v>6</v>
      </c>
    </row>
    <row customHeight="1" ht="36.75">
      <c r="A39" s="789"/>
      <c r="D39" s="79"/>
      <c r="E39" s="395" t="s">
        <v>55</v>
      </c>
      <c r="F39" s="714" t="s">
        <v>19</v>
      </c>
      <c r="G39" s="77"/>
      <c r="H39" s="777" t="s">
        <v>23</v>
      </c>
      <c r="Q39" s="78">
        <v>35</v>
      </c>
    </row>
    <row s="1616" customFormat="1" customHeight="1" ht="6" hidden="1">
      <c r="A40" s="788"/>
      <c r="B40" s="430"/>
      <c r="C40" s="431"/>
      <c r="D40" s="432"/>
      <c r="E40" s="433"/>
      <c r="F40" s="1057"/>
      <c r="G40" s="77"/>
      <c r="H40" s="413"/>
      <c r="I40" s="415"/>
      <c r="J40" s="880"/>
      <c r="Q40" s="434">
        <v>6</v>
      </c>
    </row>
    <row s="1639" customFormat="1" customHeight="1" ht="26.25" hidden="1">
      <c r="A41" s="792" t="s">
        <v>27</v>
      </c>
      <c r="B41" s="417"/>
      <c r="C41" s="412"/>
      <c r="D41" s="414"/>
      <c r="E41" s="39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4" t="s">
        <v>19</v>
      </c>
      <c r="G41" s="77"/>
      <c r="I41" s="415"/>
      <c r="J41" s="880"/>
      <c r="Q41" s="413">
        <v>0</v>
      </c>
    </row>
    <row s="1616" customFormat="1" customHeight="1" ht="6" hidden="1">
      <c r="A42" s="788"/>
      <c r="B42" s="430"/>
      <c r="C42" s="431"/>
      <c r="D42" s="432"/>
      <c r="E42" s="433"/>
      <c r="F42" s="1057"/>
      <c r="G42" s="77"/>
      <c r="H42" s="413"/>
      <c r="I42" s="415"/>
      <c r="J42" s="878"/>
      <c r="Q42" s="434">
        <v>0</v>
      </c>
    </row>
    <row s="1639" customFormat="1" customHeight="1" ht="27" hidden="1">
      <c r="A43" s="788"/>
      <c r="B43" s="417"/>
      <c r="C43" s="412"/>
      <c r="D43" s="414"/>
      <c r="E43" s="395" t="s">
        <v>56</v>
      </c>
      <c r="F43" s="714" t="s">
        <v>19</v>
      </c>
      <c r="G43" s="77"/>
      <c r="I43" s="415"/>
      <c r="J43" s="880"/>
      <c r="Q43" s="413">
        <v>0</v>
      </c>
    </row>
    <row s="1639" customFormat="1" customHeight="1" ht="27" hidden="1">
      <c r="A44" s="788"/>
      <c r="B44" s="417"/>
      <c r="C44" s="412"/>
      <c r="D44" s="414"/>
      <c r="E44" s="1169" t="s">
        <v>57</v>
      </c>
      <c r="F44" s="1892"/>
      <c r="G44" s="77"/>
      <c r="I44" s="415"/>
      <c r="J44" s="880"/>
      <c r="Q44" s="413">
        <v>0</v>
      </c>
    </row>
    <row s="1616" customFormat="1" customHeight="1" ht="6" hidden="1">
      <c r="A45" s="788"/>
      <c r="B45" s="430"/>
      <c r="C45" s="431"/>
      <c r="D45" s="432"/>
      <c r="E45" s="433"/>
      <c r="F45" s="1057"/>
      <c r="G45" s="77"/>
      <c r="H45" s="413"/>
      <c r="I45" s="415"/>
      <c r="J45" s="880"/>
      <c r="Q45" s="434">
        <v>0</v>
      </c>
    </row>
    <row s="1616" customFormat="1" customHeight="1" ht="24.75" hidden="1">
      <c r="A46" s="788"/>
      <c r="B46" s="430"/>
      <c r="C46" s="431"/>
      <c r="D46" s="432"/>
      <c r="E46" s="1169" t="s">
        <v>58</v>
      </c>
      <c r="F46" s="714" t="s">
        <v>19</v>
      </c>
      <c r="G46" s="77"/>
      <c r="H46" s="413"/>
      <c r="I46" s="415"/>
      <c r="J46" s="880"/>
      <c r="Q46" s="434">
        <v>0</v>
      </c>
    </row>
    <row s="1639" customFormat="1" customHeight="1" ht="24.75" hidden="1">
      <c r="A47" s="788"/>
      <c r="B47" s="417"/>
      <c r="C47" s="412"/>
      <c r="D47" s="414"/>
      <c r="E47" s="1169" t="s">
        <v>59</v>
      </c>
      <c r="F47" s="714" t="s">
        <v>19</v>
      </c>
      <c r="G47" s="77"/>
      <c r="I47" s="415"/>
      <c r="J47" s="880"/>
      <c r="Q47" s="413">
        <v>0</v>
      </c>
    </row>
    <row s="1616" customFormat="1" customHeight="1" ht="6" hidden="1">
      <c r="A48" s="788"/>
      <c r="B48" s="236"/>
      <c r="C48" s="237"/>
      <c r="D48" s="238"/>
      <c r="E48" s="239"/>
      <c r="F48" s="1057"/>
      <c r="G48" s="77"/>
      <c r="H48" s="413"/>
      <c r="I48" s="415"/>
      <c r="J48" s="880"/>
      <c r="Q48" s="240">
        <v>0</v>
      </c>
    </row>
    <row customHeight="1" ht="29.25" hidden="1">
      <c r="B49" s="152"/>
      <c r="D49" s="79"/>
      <c r="E49" s="39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4"/>
      <c r="G49" s="77"/>
      <c r="Q49" s="78">
        <v>0</v>
      </c>
    </row>
    <row s="1616" customFormat="1" customHeight="1" ht="6">
      <c r="A50" s="789"/>
      <c r="B50" s="430"/>
      <c r="C50" s="431"/>
      <c r="D50" s="243"/>
      <c r="E50" s="241"/>
      <c r="F50" s="244"/>
      <c r="G50" s="81"/>
      <c r="H50" s="413"/>
      <c r="I50" s="415"/>
      <c r="J50" s="880"/>
      <c r="Q50" s="434">
        <v>0</v>
      </c>
    </row>
    <row s="1639" customFormat="1" customHeight="1" ht="28.5">
      <c r="A51" s="790"/>
      <c r="B51" s="417"/>
      <c r="C51" s="534"/>
      <c r="D51" s="535"/>
      <c r="E51" s="395" t="s">
        <v>60</v>
      </c>
      <c r="F51" s="714" t="s">
        <v>19</v>
      </c>
      <c r="G51" s="536"/>
      <c r="I51" s="538"/>
      <c r="J51" s="882"/>
      <c r="P51" s="539"/>
      <c r="Q51" s="537">
        <v>0</v>
      </c>
    </row>
    <row s="1616" customFormat="1" customHeight="1" ht="6">
      <c r="A52" s="789"/>
      <c r="B52" s="430"/>
      <c r="C52" s="431"/>
      <c r="D52" s="243"/>
      <c r="E52" s="241"/>
      <c r="F52" s="244"/>
      <c r="G52" s="81"/>
      <c r="H52" s="413"/>
      <c r="I52" s="415"/>
      <c r="J52" s="878"/>
      <c r="Q52" s="434">
        <v>0</v>
      </c>
    </row>
    <row s="1639" customFormat="1" customHeight="1" ht="27">
      <c r="A53" s="790"/>
      <c r="B53" s="417"/>
      <c r="C53" s="534"/>
      <c r="D53" s="535"/>
      <c r="E53" s="395" t="s">
        <v>61</v>
      </c>
      <c r="F53" s="1052" t="s">
        <v>62</v>
      </c>
      <c r="G53" s="536"/>
      <c r="I53" s="538"/>
      <c r="J53" s="882"/>
      <c r="P53" s="539"/>
      <c r="Q53" s="537">
        <v>0</v>
      </c>
    </row>
    <row s="1639" customFormat="1" customHeight="1" ht="27">
      <c r="A54" s="790"/>
      <c r="B54" s="417"/>
      <c r="C54" s="534"/>
      <c r="D54" s="535"/>
      <c r="E54" s="395" t="s">
        <v>63</v>
      </c>
      <c r="F54" s="2637">
        <v>45380.480787037035</v>
      </c>
      <c r="G54" s="536"/>
      <c r="I54" s="538"/>
      <c r="J54" s="882"/>
      <c r="P54" s="539"/>
      <c r="Q54" s="537">
        <v>0</v>
      </c>
    </row>
    <row s="1616" customFormat="1" customHeight="1" ht="6">
      <c r="A55" s="789"/>
      <c r="B55" s="430"/>
      <c r="C55" s="431"/>
      <c r="D55" s="243"/>
      <c r="E55" s="241"/>
      <c r="F55" s="244"/>
      <c r="G55" s="81"/>
      <c r="H55" s="413"/>
      <c r="I55" s="415"/>
      <c r="J55" s="878"/>
      <c r="Q55" s="434">
        <v>0</v>
      </c>
    </row>
    <row s="1639" customFormat="1" customHeight="1" ht="25.5">
      <c r="A56" s="790"/>
      <c r="B56" s="417"/>
      <c r="C56" s="534"/>
      <c r="D56" s="535"/>
      <c r="E56" s="395" t="s">
        <v>64</v>
      </c>
      <c r="F56" s="1052" t="s">
        <v>62</v>
      </c>
      <c r="G56" s="536"/>
      <c r="I56" s="538"/>
      <c r="J56" s="882"/>
      <c r="P56" s="539"/>
      <c r="Q56" s="537">
        <v>0</v>
      </c>
    </row>
    <row s="1616" customFormat="1" customHeight="1" ht="6">
      <c r="A57" s="789"/>
      <c r="B57" s="430"/>
      <c r="C57" s="431"/>
      <c r="D57" s="243"/>
      <c r="E57" s="241"/>
      <c r="F57" s="244"/>
      <c r="G57" s="81"/>
      <c r="H57" s="413"/>
      <c r="I57" s="415"/>
      <c r="J57" s="878"/>
      <c r="Q57" s="434">
        <v>0</v>
      </c>
    </row>
    <row s="1639" customFormat="1" customHeight="1" ht="15">
      <c r="A58" s="790"/>
      <c r="B58" s="417"/>
      <c r="C58" s="534"/>
      <c r="D58" s="535"/>
      <c r="E58" s="395" t="s">
        <v>65</v>
      </c>
      <c r="F58" s="1052" t="s">
        <v>62</v>
      </c>
      <c r="G58" s="536"/>
      <c r="I58" s="538"/>
      <c r="J58" s="882"/>
      <c r="P58" s="539"/>
      <c r="Q58" s="537">
        <v>0</v>
      </c>
    </row>
    <row s="1639" customFormat="1" customHeight="1" ht="75">
      <c r="A59" s="790"/>
      <c r="B59" s="417"/>
      <c r="C59" s="534"/>
      <c r="D59" s="535"/>
      <c r="E59" s="39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3" t="s">
        <v>62</v>
      </c>
      <c r="G59" s="536"/>
      <c r="I59" s="538"/>
      <c r="J59" s="882"/>
      <c r="P59" s="539"/>
      <c r="Q59" s="537">
        <v>0</v>
      </c>
    </row>
    <row s="1639" customFormat="1" customHeight="1" ht="15">
      <c r="A60" s="790"/>
      <c r="B60" s="417"/>
      <c r="C60" s="534"/>
      <c r="D60" s="535"/>
      <c r="E60" s="1169" t="s">
        <v>66</v>
      </c>
      <c r="F60" s="1214" t="s">
        <v>67</v>
      </c>
      <c r="G60" s="536"/>
      <c r="I60" s="538"/>
      <c r="J60" s="882"/>
      <c r="P60" s="539"/>
      <c r="Q60" s="537">
        <v>0</v>
      </c>
    </row>
    <row s="1616" customFormat="1" customHeight="1" ht="6" hidden="1">
      <c r="A61" s="789"/>
      <c r="B61" s="430"/>
      <c r="C61" s="431"/>
      <c r="D61" s="432"/>
      <c r="E61" s="433"/>
      <c r="F61" s="1057"/>
      <c r="G61" s="77"/>
      <c r="H61" s="413"/>
      <c r="I61" s="415"/>
      <c r="J61" s="880"/>
      <c r="Q61" s="434">
        <v>0</v>
      </c>
    </row>
    <row s="1639" customFormat="1" customHeight="1" ht="33.75" hidden="1">
      <c r="A62" s="789"/>
      <c r="B62" s="102"/>
      <c r="C62" s="412"/>
      <c r="D62" s="414"/>
      <c r="E62" s="1169" t="s">
        <v>68</v>
      </c>
      <c r="F62" s="1675" t="s">
        <v>62</v>
      </c>
      <c r="G62" s="77"/>
      <c r="H62" s="777" t="s">
        <v>23</v>
      </c>
      <c r="I62" s="415"/>
      <c r="J62" s="880"/>
      <c r="Q62" s="413">
        <v>0</v>
      </c>
    </row>
    <row s="1616" customFormat="1" customHeight="1" ht="6.3">
      <c r="A63" s="789"/>
      <c r="B63" s="236"/>
      <c r="C63" s="237"/>
      <c r="D63" s="243"/>
      <c r="E63" s="241"/>
      <c r="F63" s="244"/>
      <c r="G63" s="81"/>
      <c r="H63" s="413"/>
      <c r="I63" s="415"/>
      <c r="J63" s="878"/>
      <c r="Q63" s="240">
        <v>6</v>
      </c>
    </row>
    <row customHeight="1" ht="21">
      <c r="A64" s="791"/>
      <c r="B64" s="103"/>
      <c r="D64" s="86"/>
      <c r="E64" s="395" t="s">
        <v>69</v>
      </c>
      <c r="F64" s="220" t="s">
        <v>70</v>
      </c>
      <c r="G64" s="81"/>
      <c r="Q64" s="78">
        <v>20</v>
      </c>
    </row>
    <row customHeight="1" ht="21">
      <c r="A65" s="791"/>
      <c r="B65" s="103"/>
      <c r="D65" s="86"/>
      <c r="E65" s="395" t="s">
        <v>71</v>
      </c>
      <c r="F65" s="220" t="s">
        <v>72</v>
      </c>
      <c r="G65" s="81"/>
      <c r="Q65" s="78">
        <v>20</v>
      </c>
    </row>
    <row customHeight="1" ht="36.75">
      <c r="D66" s="79"/>
      <c r="E66" s="397" t="s">
        <v>73</v>
      </c>
      <c r="F66" s="1058"/>
      <c r="G66" s="77"/>
      <c r="Q66" s="78">
        <v>35</v>
      </c>
    </row>
    <row customHeight="1" ht="21">
      <c r="A67" s="791"/>
      <c r="D67" s="414"/>
      <c r="E67" s="395" t="s">
        <v>74</v>
      </c>
      <c r="F67" s="275" t="s">
        <v>75</v>
      </c>
      <c r="G67" s="81"/>
      <c r="Q67" s="78">
        <v>20</v>
      </c>
    </row>
    <row customHeight="1" ht="21">
      <c r="A68" s="791"/>
      <c r="B68" s="103"/>
      <c r="D68" s="86"/>
      <c r="E68" s="395" t="s">
        <v>76</v>
      </c>
      <c r="F68" s="275" t="s">
        <v>77</v>
      </c>
      <c r="G68" s="81"/>
      <c r="Q68" s="78">
        <v>20</v>
      </c>
    </row>
    <row customHeight="1" ht="21">
      <c r="A69" s="791"/>
      <c r="B69" s="103"/>
      <c r="D69" s="86"/>
      <c r="E69" s="395" t="s">
        <v>78</v>
      </c>
      <c r="F69" s="275" t="s">
        <v>79</v>
      </c>
      <c r="G69" s="81"/>
      <c r="Q69" s="78">
        <v>20</v>
      </c>
    </row>
    <row customHeight="1" ht="21">
      <c r="D70" s="414"/>
      <c r="E70" s="395" t="s">
        <v>80</v>
      </c>
      <c r="F70" s="275" t="s">
        <v>81</v>
      </c>
      <c r="G70" s="77"/>
      <c r="Q70" s="78">
        <v>20</v>
      </c>
    </row>
    <row customHeight="1" ht="21">
      <c r="A71" s="791"/>
      <c r="D71" s="77"/>
      <c r="F71" s="137"/>
      <c r="G71" s="81"/>
      <c r="Q71" s="78">
        <v>20</v>
      </c>
    </row>
    <row customHeight="1" ht="21">
      <c r="A72" s="791"/>
      <c r="B72" s="103"/>
      <c r="D72" s="86"/>
      <c r="E72" s="85"/>
      <c r="F72" s="1037" t="s">
        <v>13</v>
      </c>
      <c r="G72" s="81"/>
      <c r="Q72" s="78">
        <v>20</v>
      </c>
    </row>
    <row customHeight="1" ht="21">
      <c r="A73" s="791"/>
      <c r="B73" s="103"/>
      <c r="D73" s="86"/>
      <c r="E73" s="85"/>
      <c r="F73" s="138"/>
      <c r="G73" s="81"/>
      <c r="Q73" s="78">
        <v>20</v>
      </c>
    </row>
    <row customHeight="1" ht="21">
      <c r="A74" s="791"/>
      <c r="B74" s="103"/>
      <c r="D74" s="86"/>
      <c r="E74" s="90"/>
      <c r="F74" s="138"/>
      <c r="G74" s="81"/>
      <c r="Q74" s="78">
        <v>20</v>
      </c>
    </row>
    <row customHeight="1" ht="21">
      <c r="A75" s="791"/>
      <c r="B75" s="103"/>
      <c r="D75" s="86"/>
      <c r="E75" s="85"/>
      <c r="F75" s="138"/>
      <c r="G75" s="81"/>
      <c r="Q75" s="78">
        <v>20</v>
      </c>
    </row>
    <row customHeight="1" ht="11.549999999999999">
      <c r="Q76" s="78">
        <v>11</v>
      </c>
    </row>
    <row customHeight="1" ht="11.549999999999999">
      <c r="Q77" s="78">
        <v>11</v>
      </c>
    </row>
    <row customHeight="1" ht="11.549999999999999">
      <c r="E78" s="394"/>
      <c r="F78" s="394"/>
      <c r="G78" s="394"/>
      <c r="H78" s="394"/>
      <c r="I78" s="394"/>
      <c r="Q78" s="78">
        <v>11</v>
      </c>
    </row>
    <row customHeight="1" ht="11.25" hidden="1">
      <c r="A79" s="788" t="s">
        <v>82</v>
      </c>
      <c r="B79" s="102">
        <v>0</v>
      </c>
      <c r="C79" s="76">
        <v>3</v>
      </c>
      <c r="D79" s="78">
        <v>1</v>
      </c>
      <c r="E79" s="78">
        <v>55</v>
      </c>
      <c r="F79" s="78">
        <v>54</v>
      </c>
      <c r="G79" s="775">
        <v>1</v>
      </c>
      <c r="H79" s="413">
        <v>0</v>
      </c>
      <c r="I79" s="415">
        <v>59</v>
      </c>
      <c r="J79" s="880">
        <v>0</v>
      </c>
      <c r="K79" s="78">
        <v>8</v>
      </c>
      <c r="L79" s="78">
        <v>77</v>
      </c>
      <c r="M79" s="78">
        <v>8</v>
      </c>
      <c r="N79" s="78">
        <v>8</v>
      </c>
      <c r="O79" s="78">
        <v>8</v>
      </c>
      <c r="P79" s="78">
        <v>8</v>
      </c>
      <c r="Q79" s="7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29B7C7E1-6E8A-A77D-08CF-379BD16C5CC5}"/>
    <hyperlink ref="H17" location="Титульный!H9" display="Как заполнить?" tooltip="Помощь по работе с полями отчётной формы" xr:uid="{E68CD71A-9BFE-6D16-BBAF-ED94824ACFF2}"/>
    <hyperlink ref="H39" location="Титульный!H9" display="Как заполнить?" tooltip="Помощь по работе с полями отчётной формы" xr:uid="{3EAA82F6-E6C9-C7C1-311F-08B2DD021E27}"/>
    <hyperlink ref="H62" location="Титульный!H9" display="Как заполнить?" tooltip="Помощь по работе с полями отчётной формы" xr:uid="{5764EB0C-D951-4CE8-283E-1309C358791F}"/>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06B581-F301-63C2-D8A3-B98E95D9F88D}"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5.421875" customWidth="1"/>
    <col min="29" max="30" style="1639" width="3.00390625" customWidth="1"/>
    <col min="31" max="31" style="1639" width="24.00390625" customWidth="1"/>
    <col min="32" max="32" style="1639" width="3.7109375" customWidth="1"/>
    <col min="33" max="34" style="1639" width="3.00390625" customWidth="1"/>
    <col min="35" max="35" style="1639" width="24.00390625" customWidth="1"/>
    <col min="36" max="36" style="1639" width="3.7109375" customWidth="1"/>
    <col min="37" max="38" style="1639" width="3.00390625" customWidth="1"/>
    <col min="39" max="39" style="1639" width="18.00390625" customWidth="1"/>
    <col min="40" max="41" style="1639" width="21.00390625" customWidth="1"/>
    <col min="42" max="42" style="1639" width="11.00390625" customWidth="1"/>
    <col min="43" max="43" style="1639" width="3.7109375" customWidth="1"/>
    <col min="44" max="44" style="1639" width="11.00390625" customWidth="1"/>
    <col min="45" max="45" style="1639" width="8.57421875" hidden="1" customWidth="1"/>
    <col min="46" max="46" style="1639" width="4.00390625" customWidth="1"/>
    <col min="47" max="47" style="1639" width="115.00390625" customWidth="1"/>
    <col min="48" max="52" style="1646" width="10.00390625" customWidth="1"/>
    <col min="53" max="53" style="1639" width="10.57421875" hidden="1"/>
  </cols>
  <sheetData>
    <row customHeight="1" ht="22.5" hidden="1">
      <c r="W1" s="331"/>
      <c r="X1" s="331"/>
      <c r="AO1" s="331"/>
      <c r="AP1" s="331"/>
      <c r="BA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340">
        <f>INDEX(PT_DIFFERENTIATION_NUM_NTAR,MATCH(A2,PT_DIFFERENTIATION_NTAR_ID,0))</f>
      </c>
      <c r="T2" s="302" t="s">
        <v>143</v>
      </c>
      <c r="U2" s="304"/>
      <c r="V2" s="2247"/>
      <c r="W2" s="2247"/>
      <c r="X2" s="2247"/>
      <c r="Y2" s="2247"/>
      <c r="Z2" s="2247"/>
      <c r="AA2" s="2248"/>
      <c r="AB2" s="2246">
        <f>INDEX(PT_DIFFERENTIATION_NTAR,MATCH(A2,PT_DIFFERENTIATION_NTAR_ID,0))</f>
      </c>
      <c r="AC2" s="2247"/>
      <c r="AD2" s="2247"/>
      <c r="AE2" s="2247"/>
      <c r="AF2" s="2247"/>
      <c r="AG2" s="2247"/>
      <c r="AH2" s="2247"/>
      <c r="AI2" s="2247"/>
      <c r="AJ2" s="2247"/>
      <c r="AK2" s="2247"/>
      <c r="AL2" s="2247"/>
      <c r="AM2" s="2247"/>
      <c r="AN2" s="2247"/>
      <c r="AO2" s="2247"/>
      <c r="AP2" s="2247"/>
      <c r="AQ2" s="2247"/>
      <c r="AR2" s="2247"/>
      <c r="AS2" s="2247"/>
      <c r="AT2" s="2248"/>
      <c r="AU2" s="1262" t="s">
        <v>414</v>
      </c>
      <c r="AW2" s="504"/>
      <c r="AX2" s="504" t="str">
        <f>IF(T2="","",T2)</f>
        <v>Наименование тарифа</v>
      </c>
      <c r="AY2" s="504"/>
      <c r="AZ2" s="504"/>
      <c r="BA2" s="1159">
        <v>0</v>
      </c>
    </row>
    <row customHeight="1" ht="21" hidden="1">
      <c r="A3" s="1367"/>
      <c r="B3" s="1367"/>
      <c r="C3" s="1367"/>
      <c r="D3" s="1367"/>
      <c r="E3" s="2263"/>
      <c r="F3" s="2262">
        <v>1</v>
      </c>
      <c r="G3" s="1367"/>
      <c r="H3" s="1367"/>
      <c r="I3" s="1367"/>
      <c r="J3" s="1367"/>
      <c r="K3" s="1367"/>
      <c r="L3" s="1368"/>
      <c r="M3" s="1369"/>
      <c r="N3" s="1369"/>
      <c r="O3" s="1369"/>
      <c r="P3" s="1414"/>
      <c r="Q3" s="1415"/>
      <c r="R3" s="357"/>
      <c r="S3" s="1340">
        <f>INDEX(PT_DIFFERENTIATION_NUM_TER,MATCH(B3,PT_DIFFERENTIATION_TER_ID,0))</f>
      </c>
      <c r="T3" s="312" t="s">
        <v>415</v>
      </c>
      <c r="U3" s="304"/>
      <c r="V3" s="2247"/>
      <c r="W3" s="2247"/>
      <c r="X3" s="2247"/>
      <c r="Y3" s="2247"/>
      <c r="Z3" s="2247"/>
      <c r="AA3" s="2248"/>
      <c r="AB3" s="2246">
        <f>INDEX(PT_DIFFERENTIATION_TER,MATCH(B3,PT_DIFFERENTIATION_TER_ID,0))</f>
      </c>
      <c r="AC3" s="2247"/>
      <c r="AD3" s="2247"/>
      <c r="AE3" s="2247"/>
      <c r="AF3" s="2247"/>
      <c r="AG3" s="2247"/>
      <c r="AH3" s="2247"/>
      <c r="AI3" s="2247"/>
      <c r="AJ3" s="2247"/>
      <c r="AK3" s="2247"/>
      <c r="AL3" s="2247"/>
      <c r="AM3" s="2247"/>
      <c r="AN3" s="2247"/>
      <c r="AO3" s="2247"/>
      <c r="AP3" s="2247"/>
      <c r="AQ3" s="2247"/>
      <c r="AR3" s="2247"/>
      <c r="AS3" s="2247"/>
      <c r="AT3" s="2248"/>
      <c r="AU3" s="1262" t="s">
        <v>416</v>
      </c>
      <c r="AW3" s="504"/>
      <c r="AX3" s="504" t="str">
        <f>IF(T3="","",T3)</f>
        <v>Территория действия тарифа</v>
      </c>
      <c r="AY3" s="504"/>
      <c r="AZ3" s="504"/>
      <c r="BA3" s="1159">
        <v>0</v>
      </c>
    </row>
    <row customHeight="1" ht="22.5" hidden="1">
      <c r="A4" s="1367"/>
      <c r="B4" s="1367"/>
      <c r="C4" s="1367"/>
      <c r="D4" s="1367"/>
      <c r="E4" s="2263"/>
      <c r="F4" s="2263"/>
      <c r="G4" s="2262">
        <v>1</v>
      </c>
      <c r="H4" s="1367"/>
      <c r="I4" s="1367"/>
      <c r="J4" s="1367"/>
      <c r="K4" s="1367"/>
      <c r="L4" s="1368"/>
      <c r="M4" s="1369"/>
      <c r="N4" s="1369"/>
      <c r="O4" s="1369"/>
      <c r="P4" s="1416"/>
      <c r="Q4" s="1415"/>
      <c r="R4" s="357"/>
      <c r="S4" s="1340">
        <f>INDEX(PT_DIFFERENTIATION_NUM_CS,MATCH(C4,PT_DIFFERENTIATION_CS_ID,0))</f>
      </c>
      <c r="T4" s="313" t="s">
        <v>417</v>
      </c>
      <c r="U4" s="304"/>
      <c r="V4" s="2247"/>
      <c r="W4" s="2247"/>
      <c r="X4" s="2247"/>
      <c r="Y4" s="2247"/>
      <c r="Z4" s="2247"/>
      <c r="AA4" s="2248"/>
      <c r="AB4" s="2246">
        <f>INDEX(PT_DIFFERENTIATION_CS,MATCH(C4,PT_DIFFERENTIATION_CS_ID,0))</f>
      </c>
      <c r="AC4" s="2247"/>
      <c r="AD4" s="2247"/>
      <c r="AE4" s="2247"/>
      <c r="AF4" s="2247"/>
      <c r="AG4" s="2247"/>
      <c r="AH4" s="2247"/>
      <c r="AI4" s="2247"/>
      <c r="AJ4" s="2247"/>
      <c r="AK4" s="2247"/>
      <c r="AL4" s="2247"/>
      <c r="AM4" s="2247"/>
      <c r="AN4" s="2247"/>
      <c r="AO4" s="2247"/>
      <c r="AP4" s="2247"/>
      <c r="AQ4" s="2247"/>
      <c r="AR4" s="2247"/>
      <c r="AS4" s="2247"/>
      <c r="AT4" s="2248"/>
      <c r="AU4" s="1262" t="s">
        <v>418</v>
      </c>
      <c r="AW4" s="504"/>
      <c r="AX4" s="504" t="str">
        <f>IF(T4="","",T4)</f>
        <v>Наименование системы теплоснабжения </v>
      </c>
      <c r="AY4" s="504"/>
      <c r="AZ4" s="504"/>
      <c r="BA4" s="1159">
        <v>0</v>
      </c>
    </row>
    <row customHeight="1" ht="21" hidden="1">
      <c r="A5" s="1367"/>
      <c r="B5" s="1367"/>
      <c r="C5" s="1367"/>
      <c r="D5" s="1367"/>
      <c r="E5" s="2263"/>
      <c r="F5" s="2263"/>
      <c r="G5" s="2263"/>
      <c r="H5" s="2262">
        <v>1</v>
      </c>
      <c r="I5" s="1367"/>
      <c r="J5" s="1367"/>
      <c r="K5" s="1367"/>
      <c r="L5" s="1368"/>
      <c r="M5" s="1369"/>
      <c r="N5" s="1369"/>
      <c r="O5" s="1369"/>
      <c r="P5" s="1416"/>
      <c r="Q5" s="1415"/>
      <c r="R5" s="357"/>
      <c r="S5" s="1340">
        <f>INDEX(PT_DIFFERENTIATION_NUM_IST_TE,MATCH(D5,PT_DIFFERENTIATION_IST_TE_ID,0))</f>
      </c>
      <c r="T5" s="314" t="s">
        <v>419</v>
      </c>
      <c r="U5" s="304"/>
      <c r="V5" s="2247"/>
      <c r="W5" s="2247"/>
      <c r="X5" s="2247"/>
      <c r="Y5" s="2247"/>
      <c r="Z5" s="2247"/>
      <c r="AA5" s="2248"/>
      <c r="AB5" s="2246">
        <f>INDEX(PT_DIFFERENTIATION_IST_TE,MATCH(D5,PT_DIFFERENTIATION_IST_TE_ID,0))</f>
      </c>
      <c r="AC5" s="2247"/>
      <c r="AD5" s="2247"/>
      <c r="AE5" s="2247"/>
      <c r="AF5" s="2247"/>
      <c r="AG5" s="2247"/>
      <c r="AH5" s="2247"/>
      <c r="AI5" s="2247"/>
      <c r="AJ5" s="2247"/>
      <c r="AK5" s="2247"/>
      <c r="AL5" s="2247"/>
      <c r="AM5" s="2247"/>
      <c r="AN5" s="2247"/>
      <c r="AO5" s="2247"/>
      <c r="AP5" s="2247"/>
      <c r="AQ5" s="2247"/>
      <c r="AR5" s="2247"/>
      <c r="AS5" s="2247"/>
      <c r="AT5" s="2248"/>
      <c r="AU5" s="1262" t="s">
        <v>420</v>
      </c>
      <c r="AW5" s="504"/>
      <c r="AX5" s="504" t="str">
        <f>IF(T5="","",T5)</f>
        <v>Источник тепловой энергии  </v>
      </c>
      <c r="AY5" s="504"/>
      <c r="AZ5" s="504"/>
      <c r="BA5" s="1159">
        <v>0</v>
      </c>
    </row>
    <row s="1646" customFormat="1" customHeight="1" ht="0.75" hidden="1">
      <c r="A6" s="1347"/>
      <c r="B6" s="1347"/>
      <c r="C6" s="1347"/>
      <c r="D6" s="1347"/>
      <c r="E6" s="2263"/>
      <c r="F6" s="2263"/>
      <c r="G6" s="2263"/>
      <c r="H6" s="2263"/>
      <c r="I6" s="2260">
        <f>S5&amp;".1"</f>
      </c>
      <c r="J6" s="1347"/>
      <c r="K6" s="1347"/>
      <c r="L6" s="1350" t="s">
        <v>421</v>
      </c>
      <c r="M6" s="514"/>
      <c r="N6" s="514"/>
      <c r="O6" s="514"/>
      <c r="P6" s="2261">
        <v>1</v>
      </c>
      <c r="Q6" s="1335"/>
      <c r="R6" s="360"/>
      <c r="S6" s="1046"/>
      <c r="T6" s="1387"/>
      <c r="U6" s="1388"/>
      <c r="V6" s="2301"/>
      <c r="W6" s="2301"/>
      <c r="X6" s="2301"/>
      <c r="Y6" s="2301"/>
      <c r="Z6" s="2301"/>
      <c r="AA6" s="2302"/>
      <c r="AB6" s="2300"/>
      <c r="AC6" s="2301"/>
      <c r="AD6" s="2301"/>
      <c r="AE6" s="2301"/>
      <c r="AF6" s="2301"/>
      <c r="AG6" s="2301"/>
      <c r="AH6" s="2301"/>
      <c r="AI6" s="2301"/>
      <c r="AJ6" s="2301"/>
      <c r="AK6" s="2301"/>
      <c r="AL6" s="2301"/>
      <c r="AM6" s="2301"/>
      <c r="AN6" s="2301"/>
      <c r="AO6" s="2301"/>
      <c r="AP6" s="2301"/>
      <c r="AQ6" s="2301"/>
      <c r="AR6" s="2301"/>
      <c r="AS6" s="2301"/>
      <c r="AT6" s="2302"/>
      <c r="AU6" s="1389"/>
      <c r="AW6" s="504"/>
      <c r="AX6" s="504" t="str">
        <f>IF(T6="","",T6)</f>
        <v/>
      </c>
      <c r="AY6" s="504"/>
      <c r="AZ6" s="504"/>
      <c r="BA6" s="515">
        <v>0</v>
      </c>
    </row>
    <row s="1646" customFormat="1" customHeight="1" ht="0.75" hidden="1">
      <c r="A7" s="1347"/>
      <c r="B7" s="1347"/>
      <c r="C7" s="1347"/>
      <c r="D7" s="1347"/>
      <c r="E7" s="2263"/>
      <c r="F7" s="2263"/>
      <c r="G7" s="2263"/>
      <c r="H7" s="2263"/>
      <c r="I7" s="2290"/>
      <c r="J7" s="2260">
        <f>S5&amp;".1"</f>
      </c>
      <c r="K7" s="1347"/>
      <c r="L7" s="1350"/>
      <c r="M7" s="514"/>
      <c r="N7" s="514"/>
      <c r="O7" s="514"/>
      <c r="P7" s="2261"/>
      <c r="Q7" s="2261">
        <v>1</v>
      </c>
      <c r="R7" s="361"/>
      <c r="S7" s="1046"/>
      <c r="T7" s="1403"/>
      <c r="U7" s="1388"/>
      <c r="V7" s="2301"/>
      <c r="W7" s="2301"/>
      <c r="X7" s="2301"/>
      <c r="Y7" s="2301"/>
      <c r="Z7" s="2301"/>
      <c r="AA7" s="2302"/>
      <c r="AB7" s="2300"/>
      <c r="AC7" s="2301"/>
      <c r="AD7" s="2301"/>
      <c r="AE7" s="2301"/>
      <c r="AF7" s="2301"/>
      <c r="AG7" s="2301"/>
      <c r="AH7" s="2301"/>
      <c r="AI7" s="2301"/>
      <c r="AJ7" s="2301"/>
      <c r="AK7" s="2301"/>
      <c r="AL7" s="2301"/>
      <c r="AM7" s="2301"/>
      <c r="AN7" s="2301"/>
      <c r="AO7" s="2301"/>
      <c r="AP7" s="2301"/>
      <c r="AQ7" s="2301"/>
      <c r="AR7" s="2301"/>
      <c r="AS7" s="2301"/>
      <c r="AT7" s="2302"/>
      <c r="AU7" s="1389"/>
      <c r="AW7" s="504"/>
      <c r="AX7" s="504" t="str">
        <f>IF(T7="","",T7)</f>
        <v/>
      </c>
      <c r="AY7" s="504"/>
      <c r="AZ7" s="504"/>
      <c r="BA7" s="515">
        <v>0</v>
      </c>
    </row>
    <row customHeight="1" ht="21" hidden="1">
      <c r="A8" s="1367"/>
      <c r="B8" s="1367"/>
      <c r="C8" s="1367"/>
      <c r="D8" s="1367"/>
      <c r="E8" s="2263"/>
      <c r="F8" s="2263"/>
      <c r="G8" s="2263"/>
      <c r="H8" s="2263"/>
      <c r="I8" s="2290"/>
      <c r="J8" s="2290"/>
      <c r="K8" s="2260">
        <f>S5&amp;".1"</f>
      </c>
      <c r="L8" s="1368"/>
      <c r="P8" s="2261"/>
      <c r="Q8" s="2261"/>
      <c r="R8" s="2351">
        <v>1</v>
      </c>
      <c r="S8" s="2345">
        <f>$K8</f>
      </c>
      <c r="T8" s="2348"/>
      <c r="U8" s="304"/>
      <c r="V8" s="755"/>
      <c r="W8" s="1261"/>
      <c r="X8" s="2269"/>
      <c r="Y8" s="2111" t="s">
        <v>62</v>
      </c>
      <c r="Z8" s="2269"/>
      <c r="AA8" s="2111" t="s">
        <v>62</v>
      </c>
      <c r="AB8" s="2111" t="s">
        <v>19</v>
      </c>
      <c r="AC8" s="2330"/>
      <c r="AD8" s="2209">
        <v>1</v>
      </c>
      <c r="AE8" s="2331"/>
      <c r="AF8" s="2111" t="s">
        <v>19</v>
      </c>
      <c r="AG8" s="2330"/>
      <c r="AH8" s="2209">
        <v>1</v>
      </c>
      <c r="AI8" s="2331"/>
      <c r="AJ8" s="2111" t="s">
        <v>19</v>
      </c>
      <c r="AK8" s="315"/>
      <c r="AL8" s="1341">
        <v>1</v>
      </c>
      <c r="AM8" s="1402"/>
      <c r="AN8" s="755"/>
      <c r="AO8" s="1261"/>
      <c r="AP8" s="1738"/>
      <c r="AQ8" s="1463" t="s">
        <v>62</v>
      </c>
      <c r="AR8" s="1738"/>
      <c r="AS8" s="1463" t="s">
        <v>62</v>
      </c>
      <c r="AT8" s="1352"/>
      <c r="AU8" s="2257" t="s">
        <v>482</v>
      </c>
      <c r="AV8" s="515">
        <f>STRCHECKDATE(V11:AT11)</f>
      </c>
      <c r="AW8" s="504"/>
      <c r="AX8" s="504" t="str">
        <f>IF(T8="","",T8)</f>
        <v/>
      </c>
      <c r="AY8" s="504"/>
      <c r="AZ8" s="504"/>
      <c r="BA8" s="1159">
        <v>0</v>
      </c>
    </row>
    <row customHeight="1" ht="11.25" hidden="1">
      <c r="A9" s="1367"/>
      <c r="B9" s="1367"/>
      <c r="C9" s="1367"/>
      <c r="D9" s="1367"/>
      <c r="E9" s="2263"/>
      <c r="F9" s="2263"/>
      <c r="G9" s="2263"/>
      <c r="H9" s="2263"/>
      <c r="I9" s="2290"/>
      <c r="J9" s="2290"/>
      <c r="K9" s="2260"/>
      <c r="L9" s="1368"/>
      <c r="P9" s="2261"/>
      <c r="Q9" s="2261"/>
      <c r="R9" s="2351"/>
      <c r="S9" s="2346"/>
      <c r="T9" s="2349"/>
      <c r="U9" s="304"/>
      <c r="V9" s="1397"/>
      <c r="W9" s="1401"/>
      <c r="X9" s="2269"/>
      <c r="Y9" s="2111"/>
      <c r="Z9" s="2269"/>
      <c r="AA9" s="2111"/>
      <c r="AB9" s="2111"/>
      <c r="AC9" s="2330"/>
      <c r="AD9" s="2209"/>
      <c r="AE9" s="2331"/>
      <c r="AF9" s="2111"/>
      <c r="AG9" s="2330"/>
      <c r="AH9" s="2209"/>
      <c r="AI9" s="2331"/>
      <c r="AJ9" s="2111"/>
      <c r="AK9" s="320"/>
      <c r="AL9" s="420"/>
      <c r="AM9" s="419" t="s">
        <v>483</v>
      </c>
      <c r="AN9" s="1397"/>
      <c r="AO9" s="1500"/>
      <c r="AP9" s="1397"/>
      <c r="AQ9" s="1397"/>
      <c r="AR9" s="1397"/>
      <c r="AS9" s="1397"/>
      <c r="AT9" s="1394"/>
      <c r="AU9" s="2258"/>
      <c r="AW9" s="504"/>
      <c r="AX9" s="504"/>
      <c r="AY9" s="504"/>
      <c r="AZ9" s="504"/>
      <c r="BA9" s="1159">
        <v>0</v>
      </c>
    </row>
    <row customHeight="1" ht="11.25" hidden="1">
      <c r="A10" s="1367"/>
      <c r="B10" s="1367"/>
      <c r="C10" s="1367"/>
      <c r="D10" s="1367"/>
      <c r="E10" s="2263"/>
      <c r="F10" s="2263"/>
      <c r="G10" s="2263"/>
      <c r="H10" s="2263"/>
      <c r="I10" s="2290"/>
      <c r="J10" s="2290"/>
      <c r="K10" s="2260"/>
      <c r="L10" s="1368"/>
      <c r="P10" s="2261"/>
      <c r="Q10" s="2261"/>
      <c r="R10" s="2351"/>
      <c r="S10" s="2346"/>
      <c r="T10" s="2349"/>
      <c r="U10" s="304"/>
      <c r="V10" s="1397"/>
      <c r="W10" s="1401"/>
      <c r="X10" s="2269"/>
      <c r="Y10" s="2111"/>
      <c r="Z10" s="2269"/>
      <c r="AA10" s="2111"/>
      <c r="AB10" s="2111"/>
      <c r="AC10" s="2330"/>
      <c r="AD10" s="2209"/>
      <c r="AE10" s="2331"/>
      <c r="AF10" s="2111"/>
      <c r="AG10" s="298"/>
      <c r="AH10" s="419"/>
      <c r="AI10" s="419" t="s">
        <v>484</v>
      </c>
      <c r="AJ10" s="1397"/>
      <c r="AK10" s="1397"/>
      <c r="AL10" s="1397"/>
      <c r="AM10" s="1397"/>
      <c r="AN10" s="1397"/>
      <c r="AO10" s="1500"/>
      <c r="AP10" s="1397"/>
      <c r="AQ10" s="1397"/>
      <c r="AR10" s="1397"/>
      <c r="AS10" s="1397"/>
      <c r="AT10" s="1394"/>
      <c r="AU10" s="2258"/>
      <c r="AW10" s="504"/>
      <c r="AX10" s="504"/>
      <c r="AY10" s="504"/>
      <c r="AZ10" s="504"/>
      <c r="BA10" s="1159">
        <v>0</v>
      </c>
    </row>
    <row customHeight="1" ht="11.25" hidden="1">
      <c r="A11" s="1367"/>
      <c r="B11" s="1367"/>
      <c r="C11" s="1367"/>
      <c r="D11" s="1367"/>
      <c r="E11" s="2263"/>
      <c r="F11" s="2263"/>
      <c r="G11" s="2263"/>
      <c r="H11" s="2263"/>
      <c r="I11" s="2290"/>
      <c r="J11" s="2290"/>
      <c r="K11" s="2260"/>
      <c r="L11" s="1368"/>
      <c r="P11" s="2261"/>
      <c r="Q11" s="2261"/>
      <c r="R11" s="2351"/>
      <c r="S11" s="2347"/>
      <c r="T11" s="2350"/>
      <c r="U11" s="304"/>
      <c r="V11" s="1397"/>
      <c r="W11" s="1400" t="str">
        <f>X8&amp;"-"&amp;Z8</f>
        <v>-</v>
      </c>
      <c r="X11" s="2270"/>
      <c r="Y11" s="2111"/>
      <c r="Z11" s="2270"/>
      <c r="AA11" s="2111"/>
      <c r="AB11" s="2111"/>
      <c r="AC11" s="316"/>
      <c r="AD11" s="318"/>
      <c r="AE11" s="419" t="s">
        <v>485</v>
      </c>
      <c r="AF11" s="1397"/>
      <c r="AG11" s="1397"/>
      <c r="AH11" s="1397"/>
      <c r="AI11" s="1397"/>
      <c r="AJ11" s="1397"/>
      <c r="AK11" s="1397"/>
      <c r="AL11" s="1397"/>
      <c r="AM11" s="1397"/>
      <c r="AN11" s="1397"/>
      <c r="AO11" s="1398" t="str">
        <f>AP8&amp;"-"&amp;AR8</f>
        <v>-</v>
      </c>
      <c r="AP11" s="1397"/>
      <c r="AQ11" s="1397"/>
      <c r="AR11" s="1397"/>
      <c r="AS11" s="1397"/>
      <c r="AT11" s="1353"/>
      <c r="AU11" s="2258"/>
      <c r="AW11" s="504"/>
      <c r="AX11" s="504" t="str">
        <f>IF(T11="","",T11)</f>
        <v/>
      </c>
      <c r="AY11" s="504"/>
      <c r="AZ11" s="504"/>
      <c r="BA11" s="1159">
        <v>0</v>
      </c>
    </row>
    <row customHeight="1" ht="11.25" hidden="1">
      <c r="A12" s="1367"/>
      <c r="B12" s="1367"/>
      <c r="C12" s="1367"/>
      <c r="D12" s="1367"/>
      <c r="E12" s="2263"/>
      <c r="F12" s="2263"/>
      <c r="G12" s="2263"/>
      <c r="H12" s="2263"/>
      <c r="I12" s="2290"/>
      <c r="J12" s="2260"/>
      <c r="K12" s="1367"/>
      <c r="L12" s="1368"/>
      <c r="P12" s="2261"/>
      <c r="Q12" s="2261"/>
      <c r="R12" s="360"/>
      <c r="S12" s="1282"/>
      <c r="T12" s="291" t="s">
        <v>486</v>
      </c>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28"/>
      <c r="AU12" s="2259"/>
      <c r="AW12" s="504"/>
      <c r="AX12" s="504" t="str">
        <f>IF(T12="","",T12)</f>
        <v>Добавить строку</v>
      </c>
      <c r="AY12" s="504"/>
      <c r="AZ12" s="504"/>
      <c r="BA12" s="1159">
        <v>0</v>
      </c>
    </row>
    <row s="1646" customFormat="1" customHeight="1" ht="0.75" hidden="1">
      <c r="A13" s="1347"/>
      <c r="B13" s="1347"/>
      <c r="C13" s="1347"/>
      <c r="D13" s="1347"/>
      <c r="E13" s="2263"/>
      <c r="F13" s="2263"/>
      <c r="G13" s="2263"/>
      <c r="H13" s="2263"/>
      <c r="I13" s="2260"/>
      <c r="J13" s="1347"/>
      <c r="K13" s="1347"/>
      <c r="L13" s="1350"/>
      <c r="M13" s="514"/>
      <c r="N13" s="514"/>
      <c r="O13" s="514"/>
      <c r="P13" s="2261"/>
      <c r="Q13" s="1335"/>
      <c r="R13" s="360"/>
      <c r="S13" s="1390"/>
      <c r="T13" s="139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3"/>
      <c r="AW13" s="504"/>
      <c r="AX13" s="504" t="str">
        <f>IF(T13="","",T13)</f>
        <v/>
      </c>
      <c r="AY13" s="504"/>
      <c r="AZ13" s="504"/>
      <c r="BA13" s="515">
        <v>0</v>
      </c>
    </row>
    <row s="1646" customFormat="1" customHeight="1" ht="0.75" hidden="1">
      <c r="A14" s="1347"/>
      <c r="B14" s="1347"/>
      <c r="C14" s="1347"/>
      <c r="D14" s="1347"/>
      <c r="E14" s="2263"/>
      <c r="F14" s="2263"/>
      <c r="G14" s="2263"/>
      <c r="H14" s="2262"/>
      <c r="I14" s="1347"/>
      <c r="J14" s="1347"/>
      <c r="K14" s="1347"/>
      <c r="L14" s="1350"/>
      <c r="M14" s="1319"/>
      <c r="N14" s="1319"/>
      <c r="O14" s="522"/>
      <c r="P14" s="384"/>
      <c r="Q14" s="1348"/>
      <c r="R14" s="1405"/>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3"/>
      <c r="AW14" s="504"/>
      <c r="AX14" s="504" t="str">
        <f>IF(T14="","",T14)</f>
        <v/>
      </c>
      <c r="AY14" s="504"/>
      <c r="AZ14" s="504"/>
      <c r="BA14" s="515">
        <v>0</v>
      </c>
    </row>
    <row s="1646" customFormat="1" customHeight="1" ht="0.75" hidden="1">
      <c r="A15" s="1347"/>
      <c r="B15" s="1347"/>
      <c r="C15" s="1347"/>
      <c r="D15" s="1318"/>
      <c r="E15" s="2263"/>
      <c r="F15" s="2263"/>
      <c r="G15" s="2262"/>
      <c r="H15" s="1318"/>
      <c r="I15" s="1318"/>
      <c r="J15" s="1318"/>
      <c r="K15" s="1318"/>
      <c r="L15" s="1343"/>
      <c r="M15" s="1319"/>
      <c r="N15" s="1319"/>
      <c r="P15" s="1320"/>
      <c r="Q15" s="1321"/>
      <c r="R15" s="1320"/>
      <c r="S15" s="1326"/>
      <c r="T15" s="1329" t="s">
        <v>432</v>
      </c>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W15" s="793"/>
      <c r="AX15" s="793" t="str">
        <f>IF(T15="","",T15)</f>
        <v>Добавить источник для дифференциации</v>
      </c>
      <c r="AY15" s="793"/>
      <c r="AZ15" s="793"/>
      <c r="BA15" s="522">
        <v>0</v>
      </c>
    </row>
    <row s="1646" customFormat="1" customHeight="1" ht="0.75" hidden="1">
      <c r="A16" s="1347"/>
      <c r="B16" s="1347"/>
      <c r="C16" s="1318"/>
      <c r="D16" s="1318"/>
      <c r="E16" s="2263"/>
      <c r="F16" s="2262"/>
      <c r="G16" s="1318"/>
      <c r="H16" s="1318"/>
      <c r="I16" s="1318"/>
      <c r="J16" s="1318"/>
      <c r="K16" s="1318"/>
      <c r="L16" s="1343"/>
      <c r="M16" s="1325"/>
      <c r="N16" s="1325"/>
      <c r="P16" s="1320"/>
      <c r="Q16" s="1321"/>
      <c r="R16" s="1320"/>
      <c r="S16" s="1326"/>
      <c r="T16" s="1329" t="s">
        <v>433</v>
      </c>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W16" s="793"/>
      <c r="AX16" s="793" t="str">
        <f>IF(T16="","",T16)</f>
        <v>Добавить централизованную систему для дифференциации</v>
      </c>
      <c r="AY16" s="793"/>
      <c r="AZ16" s="793"/>
      <c r="BA16" s="522">
        <v>0</v>
      </c>
    </row>
    <row s="1646" customFormat="1" customHeight="1" ht="0.75" hidden="1">
      <c r="A17" s="1347"/>
      <c r="B17" s="1347"/>
      <c r="C17" s="1347"/>
      <c r="D17" s="1347"/>
      <c r="E17" s="2262"/>
      <c r="F17" s="1347"/>
      <c r="G17" s="1347"/>
      <c r="H17" s="1347"/>
      <c r="I17" s="1347"/>
      <c r="J17" s="1347"/>
      <c r="K17" s="1347"/>
      <c r="L17" s="1350"/>
      <c r="M17" s="1325"/>
      <c r="N17" s="1325"/>
      <c r="O17" s="522"/>
      <c r="P17" s="384"/>
      <c r="Q17" s="1348"/>
      <c r="R17" s="384"/>
      <c r="S17" s="1326"/>
      <c r="T17" s="1329" t="s">
        <v>434</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W17" s="504"/>
      <c r="AX17" s="504" t="str">
        <f>IF(T17="","",T17)</f>
        <v>Добавить территорию для дифференциации</v>
      </c>
      <c r="AY17" s="504"/>
      <c r="AZ17" s="504"/>
      <c r="BA17" s="515">
        <v>0</v>
      </c>
    </row>
    <row customHeight="1" ht="14.25" hidden="1">
      <c r="AA18" s="331"/>
      <c r="AS18" s="331"/>
      <c r="BA18" s="1159">
        <v>0</v>
      </c>
    </row>
    <row customHeight="1" ht="14.25" hidden="1">
      <c r="AB19" s="1328" t="s">
        <v>19</v>
      </c>
      <c r="AC19" s="1505"/>
      <c r="AD19" s="552">
        <v>1</v>
      </c>
      <c r="AE19" s="1506"/>
      <c r="AF19" s="1328" t="s">
        <v>19</v>
      </c>
      <c r="AG19" s="1505"/>
      <c r="AH19" s="552">
        <v>1</v>
      </c>
      <c r="AI19" s="1506"/>
      <c r="AJ19" s="1328" t="s">
        <v>19</v>
      </c>
      <c r="AK19" s="1507"/>
      <c r="AL19" s="552">
        <v>1</v>
      </c>
      <c r="AM19" s="1510"/>
      <c r="AN19" s="1407"/>
      <c r="AO19" s="1408"/>
      <c r="AP19" s="1740"/>
      <c r="AQ19" s="1464" t="s">
        <v>62</v>
      </c>
      <c r="AR19" s="1740"/>
      <c r="AS19" s="1464" t="s">
        <v>62</v>
      </c>
      <c r="BA19" s="1159">
        <v>0</v>
      </c>
    </row>
    <row customHeight="1" ht="14.25" hidden="1">
      <c r="AV20" s="500"/>
      <c r="AW20" s="500"/>
      <c r="AX20" s="500"/>
      <c r="AY20" s="500"/>
      <c r="AZ20" s="500"/>
      <c r="BA20" s="1159">
        <v>0</v>
      </c>
    </row>
    <row customHeight="1" ht="14.25" hidden="1">
      <c r="O21" s="1371" t="s">
        <v>435</v>
      </c>
      <c r="X21" s="1349"/>
      <c r="Z21" s="1349"/>
      <c r="AA21" s="331"/>
      <c r="AP21" s="1349"/>
      <c r="AR21" s="1349"/>
      <c r="AS21" s="331"/>
      <c r="AV21" s="500"/>
      <c r="AW21" s="500"/>
      <c r="AX21" s="500"/>
      <c r="AY21" s="500"/>
      <c r="AZ21" s="500"/>
      <c r="BA21" s="1159">
        <v>0</v>
      </c>
    </row>
    <row customHeight="1" ht="14.25" hidden="1">
      <c r="AA22" s="331"/>
      <c r="AS22" s="331"/>
      <c r="AV22" s="500"/>
      <c r="AW22" s="500"/>
      <c r="AX22" s="500"/>
      <c r="AY22" s="500"/>
      <c r="AZ22" s="500"/>
      <c r="BA22" s="1159">
        <v>0</v>
      </c>
    </row>
    <row s="1513" customFormat="1" customHeight="1" ht="14.25" hidden="1">
      <c r="M23" s="1512"/>
      <c r="N23" s="1512"/>
      <c r="O23" s="1513" t="s">
        <v>436</v>
      </c>
      <c r="P23" s="1512"/>
      <c r="Q23" s="1514"/>
      <c r="R23" s="1514"/>
      <c r="Y23" s="1511" t="s">
        <v>438</v>
      </c>
      <c r="AA23" s="1511" t="s">
        <v>439</v>
      </c>
      <c r="AB23" s="1511" t="s">
        <v>487</v>
      </c>
      <c r="AE23" s="1511" t="s">
        <v>488</v>
      </c>
      <c r="AF23" s="1511" t="s">
        <v>487</v>
      </c>
      <c r="AI23" s="1511" t="s">
        <v>489</v>
      </c>
      <c r="AJ23" s="1511" t="s">
        <v>487</v>
      </c>
      <c r="AM23" s="1511" t="s">
        <v>490</v>
      </c>
      <c r="AQ23" s="1511" t="s">
        <v>438</v>
      </c>
      <c r="AS23" s="1511" t="s">
        <v>439</v>
      </c>
      <c r="AV23" s="1515"/>
      <c r="AW23" s="1515"/>
      <c r="AX23" s="1515"/>
      <c r="AY23" s="1515"/>
      <c r="AZ23" s="1515"/>
      <c r="BA23" s="1511">
        <v>0</v>
      </c>
    </row>
    <row customHeight="1" ht="14.25" hidden="1">
      <c r="O24" s="1368"/>
      <c r="AV24" s="500"/>
      <c r="AW24" s="500"/>
      <c r="AX24" s="500"/>
      <c r="AY24" s="500"/>
      <c r="AZ24" s="500"/>
      <c r="BA24" s="1159">
        <v>0</v>
      </c>
    </row>
    <row customHeight="1" ht="14.25" hidden="1">
      <c r="O25" s="1368"/>
      <c r="AV25" s="500"/>
      <c r="AW25" s="500"/>
      <c r="AX25" s="500"/>
      <c r="AY25" s="500"/>
      <c r="AZ25" s="500"/>
      <c r="BA25" s="1159">
        <v>0</v>
      </c>
    </row>
    <row customHeight="1" ht="14.699999999999998">
      <c r="Q26" s="295"/>
      <c r="R26" s="380"/>
      <c r="S26" s="1279"/>
      <c r="T26" s="367"/>
      <c r="U26" s="367"/>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BA26" s="1159">
        <v>14</v>
      </c>
    </row>
    <row customHeight="1" ht="27.299999999999997">
      <c r="Q27" s="295"/>
      <c r="R27" s="380"/>
      <c r="S27"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1247"/>
      <c r="BA27" s="1159">
        <v>26</v>
      </c>
    </row>
    <row customHeight="1" ht="14.699999999999998">
      <c r="Q28" s="295"/>
      <c r="R28" s="380"/>
      <c r="S28" s="2253" t="str">
        <f>IF(org=0,"Не определено",org)</f>
        <v>АО "Теплоэнерго"</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1247"/>
      <c r="BA28" s="1159">
        <v>14</v>
      </c>
    </row>
    <row customHeight="1" ht="14.25" hidden="1">
      <c r="Q29" s="295"/>
      <c r="R29" s="380"/>
      <c r="S29" s="1279"/>
      <c r="T29" s="367"/>
      <c r="U29" s="367"/>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513"/>
      <c r="BA29" s="1159">
        <v>0</v>
      </c>
    </row>
    <row s="1857" customFormat="1" customHeight="1" ht="25.5" hidden="1">
      <c r="A30" s="1372"/>
      <c r="B30" s="1372"/>
      <c r="C30" s="1372"/>
      <c r="D30" s="1372"/>
      <c r="E30" s="1372"/>
      <c r="F30" s="1372"/>
      <c r="G30" s="1372"/>
      <c r="H30" s="1372"/>
      <c r="I30" s="1372"/>
      <c r="J30" s="1372"/>
      <c r="K30" s="1372"/>
      <c r="L30" s="1373"/>
      <c r="M30" s="1372"/>
      <c r="N30" s="1372"/>
      <c r="O30" s="1372"/>
      <c r="P30" s="1372"/>
      <c r="Q30" s="1372"/>
      <c r="S30" s="2254" t="s">
        <v>41</v>
      </c>
      <c r="T30" s="2254"/>
      <c r="U30" s="1376"/>
      <c r="V30" s="2255" t="str">
        <f>IF(TITLE_NAME_OR_PR_CHANGE="",IF(TITLE_NAME_OR_PR="","",TITLE_NAME_OR_PR),TITLE_NAME_OR_PR_CHANGE)</f>
        <v/>
      </c>
      <c r="W30" s="2255"/>
      <c r="X30" s="2255"/>
      <c r="Y30" s="2255"/>
      <c r="Z30" s="2255"/>
      <c r="AA30" s="330"/>
      <c r="AB30" s="2255" t="str">
        <f>IF(TITLE_NAME_OR_PR_CHANGE="",IF(TITLE_NAME_OR_PR="","",TITLE_NAME_OR_PR),TITLE_NAME_OR_PR_CHANGE)</f>
        <v/>
      </c>
      <c r="AC30" s="2255"/>
      <c r="AD30" s="2255"/>
      <c r="AE30" s="2255"/>
      <c r="AF30" s="2255"/>
      <c r="AG30" s="2255"/>
      <c r="AH30" s="2255"/>
      <c r="AI30" s="2255"/>
      <c r="AJ30" s="2255"/>
      <c r="AK30" s="2255"/>
      <c r="AL30" s="2255"/>
      <c r="AM30" s="2255"/>
      <c r="AN30" s="2255"/>
      <c r="AO30" s="2255"/>
      <c r="AP30" s="2255"/>
      <c r="AQ30" s="2255"/>
      <c r="AR30" s="2255"/>
      <c r="AS30" s="330"/>
      <c r="AT30" s="330"/>
      <c r="AU30" s="284"/>
      <c r="AV30" s="372"/>
      <c r="AW30" s="372"/>
      <c r="AX30" s="372"/>
      <c r="AY30" s="372"/>
      <c r="AZ30" s="372"/>
      <c r="BA30" s="422">
        <v>0</v>
      </c>
    </row>
    <row s="1857" customFormat="1" customHeight="1" ht="18.75" hidden="1">
      <c r="A31" s="1372"/>
      <c r="B31" s="1372"/>
      <c r="C31" s="1372"/>
      <c r="D31" s="1372"/>
      <c r="E31" s="1372"/>
      <c r="F31" s="1372"/>
      <c r="G31" s="1372"/>
      <c r="H31" s="1372"/>
      <c r="I31" s="1372"/>
      <c r="J31" s="1372"/>
      <c r="K31" s="1372"/>
      <c r="L31" s="1373"/>
      <c r="M31" s="1372"/>
      <c r="N31" s="1372"/>
      <c r="O31" s="1372"/>
      <c r="P31" s="1372"/>
      <c r="Q31" s="1372"/>
      <c r="S31" s="2254" t="s">
        <v>441</v>
      </c>
      <c r="T31" s="2254"/>
      <c r="U31" s="1376"/>
      <c r="V31" s="2268" t="str">
        <f>IF(TITLE_DATE_PR_CHANGE="",IF(TITLE_DATE_PR="","",TITLE_DATE_PR),TITLE_DATE_PR_CHANGE)</f>
        <v/>
      </c>
      <c r="W31" s="2268"/>
      <c r="X31" s="2268"/>
      <c r="Y31" s="2268"/>
      <c r="Z31" s="2268"/>
      <c r="AA31" s="330"/>
      <c r="AB31" s="2268" t="str">
        <f>IF(TITLE_DATE_PR_CHANGE="",IF(TITLE_DATE_PR="","",TITLE_DATE_PR),TITLE_DATE_PR_CHANGE)</f>
        <v/>
      </c>
      <c r="AC31" s="2268"/>
      <c r="AD31" s="2268"/>
      <c r="AE31" s="2268"/>
      <c r="AF31" s="2268"/>
      <c r="AG31" s="2268"/>
      <c r="AH31" s="2268"/>
      <c r="AI31" s="2268"/>
      <c r="AJ31" s="2268"/>
      <c r="AK31" s="2268"/>
      <c r="AL31" s="2268"/>
      <c r="AM31" s="2268"/>
      <c r="AN31" s="2268"/>
      <c r="AO31" s="2268"/>
      <c r="AP31" s="2268"/>
      <c r="AQ31" s="2268"/>
      <c r="AR31" s="2268"/>
      <c r="AS31" s="330"/>
      <c r="AT31" s="330"/>
      <c r="AU31" s="284"/>
      <c r="AV31" s="372"/>
      <c r="AW31" s="372"/>
      <c r="AX31" s="372"/>
      <c r="AY31" s="372"/>
      <c r="AZ31" s="372"/>
      <c r="BA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442</v>
      </c>
      <c r="T32" s="2254"/>
      <c r="U32" s="1376"/>
      <c r="V32" s="2255" t="str">
        <f>IF(TITLE_NUMBER_PR_CHANGE="",IF(TITLE_NUMBER_PR="","",TITLE_NUMBER_PR),TITLE_NUMBER_PR_CHANGE)</f>
        <v/>
      </c>
      <c r="W32" s="2255"/>
      <c r="X32" s="2255"/>
      <c r="Y32" s="2255"/>
      <c r="Z32" s="2255"/>
      <c r="AA32" s="330"/>
      <c r="AB32" s="2255" t="str">
        <f>IF(TITLE_NUMBER_PR_CHANGE="",IF(TITLE_NUMBER_PR="","",TITLE_NUMBER_PR),TITLE_NUMBER_PR_CHANGE)</f>
        <v/>
      </c>
      <c r="AC32" s="2255"/>
      <c r="AD32" s="2255"/>
      <c r="AE32" s="2255"/>
      <c r="AF32" s="2255"/>
      <c r="AG32" s="2255"/>
      <c r="AH32" s="2255"/>
      <c r="AI32" s="2255"/>
      <c r="AJ32" s="2255"/>
      <c r="AK32" s="2255"/>
      <c r="AL32" s="2255"/>
      <c r="AM32" s="2255"/>
      <c r="AN32" s="2255"/>
      <c r="AO32" s="2255"/>
      <c r="AP32" s="2255"/>
      <c r="AQ32" s="2255"/>
      <c r="AR32" s="2255"/>
      <c r="AS32" s="330"/>
      <c r="AT32" s="330"/>
      <c r="AU32" s="284"/>
      <c r="AV32" s="372"/>
      <c r="AW32" s="372"/>
      <c r="AX32" s="372"/>
      <c r="AY32" s="372"/>
      <c r="AZ32" s="372"/>
      <c r="BA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42</v>
      </c>
      <c r="T33" s="2254"/>
      <c r="U33" s="1376"/>
      <c r="V33" s="2255" t="str">
        <f>IF(TITLE_IST_PUB_CHANGE="",IF(TITLE_IST_PUB="","",TITLE_IST_PUB),TITLE_IST_PUB_CHANGE)</f>
        <v/>
      </c>
      <c r="W33" s="2255"/>
      <c r="X33" s="2255"/>
      <c r="Y33" s="2255"/>
      <c r="Z33" s="2255"/>
      <c r="AA33" s="330"/>
      <c r="AB33" s="2255" t="str">
        <f>IF(TITLE_IST_PUB_CHANGE="",IF(TITLE_IST_PUB="","",TITLE_IST_PUB),TITLE_IST_PUB_CHANGE)</f>
        <v/>
      </c>
      <c r="AC33" s="2255"/>
      <c r="AD33" s="2255"/>
      <c r="AE33" s="2255"/>
      <c r="AF33" s="2255"/>
      <c r="AG33" s="2255"/>
      <c r="AH33" s="2255"/>
      <c r="AI33" s="2255"/>
      <c r="AJ33" s="2255"/>
      <c r="AK33" s="2255"/>
      <c r="AL33" s="2255"/>
      <c r="AM33" s="2255"/>
      <c r="AN33" s="2255"/>
      <c r="AO33" s="2255"/>
      <c r="AP33" s="2255"/>
      <c r="AQ33" s="2255"/>
      <c r="AR33" s="2255"/>
      <c r="AS33" s="330"/>
      <c r="AT33" s="330"/>
      <c r="AU33" s="284"/>
      <c r="AV33" s="372"/>
      <c r="AW33" s="372"/>
      <c r="AX33" s="372"/>
      <c r="AY33" s="372"/>
      <c r="AZ33" s="372"/>
      <c r="BA33" s="422">
        <v>0</v>
      </c>
    </row>
    <row customHeight="1" ht="14.25" hidden="1">
      <c r="Q34" s="295"/>
      <c r="R34" s="380"/>
      <c r="S34" s="1279"/>
      <c r="T34" s="367"/>
      <c r="U34" s="367"/>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513"/>
      <c r="BA34" s="1159">
        <v>0</v>
      </c>
    </row>
    <row s="1857" customFormat="1" customHeight="1" ht="18.75" hidden="1">
      <c r="A35" s="1372"/>
      <c r="B35" s="1372"/>
      <c r="C35" s="1372"/>
      <c r="D35" s="1372"/>
      <c r="E35" s="1372"/>
      <c r="F35" s="1372"/>
      <c r="G35" s="1372"/>
      <c r="H35" s="1372"/>
      <c r="I35" s="1372"/>
      <c r="J35" s="1372"/>
      <c r="K35" s="1372"/>
      <c r="L35" s="1373"/>
      <c r="M35" s="1372"/>
      <c r="N35" s="1372"/>
      <c r="O35" s="1372"/>
      <c r="P35" s="1372"/>
      <c r="Q35" s="1372"/>
      <c r="S35" s="2254" t="s">
        <v>441</v>
      </c>
      <c r="T35" s="2254"/>
      <c r="U35" s="1376"/>
      <c r="V35" s="2268" t="str">
        <f>IF(TITLE_DATE_PR_CHANGE="",IF(TITLE_DATE_PR="","",TITLE_DATE_PR),TITLE_DATE_PR_CHANGE)</f>
        <v/>
      </c>
      <c r="W35" s="2268"/>
      <c r="X35" s="2268"/>
      <c r="Y35" s="2268"/>
      <c r="Z35" s="2268"/>
      <c r="AA35" s="330"/>
      <c r="AB35" s="2268" t="str">
        <f>IF(TITLE_DATE_PR_CHANGE="",IF(TITLE_DATE_PR="","",TITLE_DATE_PR),TITLE_DATE_PR_CHANGE)</f>
        <v/>
      </c>
      <c r="AC35" s="2268"/>
      <c r="AD35" s="2268"/>
      <c r="AE35" s="2268"/>
      <c r="AF35" s="2268"/>
      <c r="AG35" s="2268"/>
      <c r="AH35" s="2268"/>
      <c r="AI35" s="2268"/>
      <c r="AJ35" s="2268"/>
      <c r="AK35" s="2268"/>
      <c r="AL35" s="2268"/>
      <c r="AM35" s="2268"/>
      <c r="AN35" s="2268"/>
      <c r="AO35" s="2268"/>
      <c r="AP35" s="2268"/>
      <c r="AQ35" s="2268"/>
      <c r="AR35" s="2268"/>
      <c r="AS35" s="330"/>
      <c r="AT35" s="330"/>
      <c r="AU35" s="284"/>
      <c r="AV35" s="372"/>
      <c r="AW35" s="372"/>
      <c r="AX35" s="372"/>
      <c r="AY35" s="372"/>
      <c r="AZ35" s="372"/>
      <c r="BA35" s="422">
        <v>0</v>
      </c>
    </row>
    <row s="1857" customFormat="1" customHeight="1" ht="18" hidden="1">
      <c r="A36" s="1372"/>
      <c r="B36" s="1372"/>
      <c r="C36" s="1372"/>
      <c r="D36" s="1372"/>
      <c r="E36" s="1372"/>
      <c r="F36" s="1372"/>
      <c r="G36" s="1372"/>
      <c r="H36" s="1372"/>
      <c r="I36" s="1372"/>
      <c r="J36" s="1372"/>
      <c r="K36" s="1372"/>
      <c r="L36" s="1373"/>
      <c r="M36" s="1372"/>
      <c r="N36" s="1372"/>
      <c r="O36" s="1372"/>
      <c r="P36" s="1372"/>
      <c r="Q36" s="1372"/>
      <c r="S36" s="2254" t="s">
        <v>442</v>
      </c>
      <c r="T36" s="2254"/>
      <c r="U36" s="1376"/>
      <c r="V36" s="2255" t="str">
        <f>IF(TITLE_NUMBER_PR_CHANGE="",IF(TITLE_NUMBER_PR="","",TITLE_NUMBER_PR),TITLE_NUMBER_PR_CHANGE)</f>
        <v/>
      </c>
      <c r="W36" s="2255"/>
      <c r="X36" s="2255"/>
      <c r="Y36" s="2255"/>
      <c r="Z36" s="2255"/>
      <c r="AA36" s="330"/>
      <c r="AB36" s="2255" t="str">
        <f>IF(TITLE_NUMBER_PR_CHANGE="",IF(TITLE_NUMBER_PR="","",TITLE_NUMBER_PR),TITLE_NUMBER_PR_CHANGE)</f>
        <v/>
      </c>
      <c r="AC36" s="2255"/>
      <c r="AD36" s="2255"/>
      <c r="AE36" s="2255"/>
      <c r="AF36" s="2255"/>
      <c r="AG36" s="2255"/>
      <c r="AH36" s="2255"/>
      <c r="AI36" s="2255"/>
      <c r="AJ36" s="2255"/>
      <c r="AK36" s="2255"/>
      <c r="AL36" s="2255"/>
      <c r="AM36" s="2255"/>
      <c r="AN36" s="2255"/>
      <c r="AO36" s="2255"/>
      <c r="AP36" s="2255"/>
      <c r="AQ36" s="2255"/>
      <c r="AR36" s="2255"/>
      <c r="AS36" s="330"/>
      <c r="AT36" s="330"/>
      <c r="AU36" s="284"/>
      <c r="AV36" s="372"/>
      <c r="AW36" s="372"/>
      <c r="AX36" s="372"/>
      <c r="AY36" s="372"/>
      <c r="AZ36" s="372"/>
      <c r="BA36" s="422">
        <v>0</v>
      </c>
    </row>
    <row s="1857" customFormat="1" customHeight="1" ht="1.05">
      <c r="A37" s="1372"/>
      <c r="B37" s="1372"/>
      <c r="C37" s="1372"/>
      <c r="D37" s="1372"/>
      <c r="E37" s="1372"/>
      <c r="F37" s="1372"/>
      <c r="G37" s="1372"/>
      <c r="H37" s="1372"/>
      <c r="I37" s="1372"/>
      <c r="J37" s="1372"/>
      <c r="K37" s="1372"/>
      <c r="L37" s="1373"/>
      <c r="M37" s="1372"/>
      <c r="N37" s="1372"/>
      <c r="O37" s="1372"/>
      <c r="P37" s="1372"/>
      <c r="Q37" s="1372"/>
      <c r="S37" s="327"/>
      <c r="T37" s="327"/>
      <c r="U37" s="1344"/>
      <c r="V37" s="330"/>
      <c r="W37" s="330"/>
      <c r="X37" s="330"/>
      <c r="Y37" s="330"/>
      <c r="Z37" s="330"/>
      <c r="AA37" s="282" t="s">
        <v>445</v>
      </c>
      <c r="AB37" s="330"/>
      <c r="AC37" s="330"/>
      <c r="AD37" s="330"/>
      <c r="AE37" s="330"/>
      <c r="AF37" s="330"/>
      <c r="AG37" s="330"/>
      <c r="AH37" s="330"/>
      <c r="AI37" s="330"/>
      <c r="AJ37" s="330"/>
      <c r="AK37" s="330"/>
      <c r="AL37" s="330"/>
      <c r="AM37" s="330"/>
      <c r="AN37" s="330"/>
      <c r="AO37" s="330"/>
      <c r="AP37" s="330"/>
      <c r="AQ37" s="330"/>
      <c r="AR37" s="330"/>
      <c r="AS37" s="282" t="s">
        <v>445</v>
      </c>
      <c r="AV37" s="372"/>
      <c r="AW37" s="372"/>
      <c r="AX37" s="372"/>
      <c r="AY37" s="372"/>
      <c r="AZ37" s="372"/>
      <c r="BA37" s="422">
        <v>1</v>
      </c>
    </row>
    <row customHeight="1" ht="14.699999999999998">
      <c r="Q38" s="295"/>
      <c r="R38" s="380"/>
      <c r="S38" s="1279"/>
      <c r="T38" s="367"/>
      <c r="U38" s="1248"/>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c r="AS38" s="2256"/>
      <c r="BA38" s="1159">
        <v>14</v>
      </c>
    </row>
    <row customHeight="1" ht="14.699999999999998">
      <c r="Q39" s="295"/>
      <c r="R39" s="380"/>
      <c r="S39" s="2131" t="s">
        <v>318</v>
      </c>
      <c r="T39" s="2131"/>
      <c r="U39" s="2131"/>
      <c r="V39" s="2131"/>
      <c r="W39" s="2131"/>
      <c r="X39" s="2131"/>
      <c r="Y39" s="2131"/>
      <c r="Z39" s="2131"/>
      <c r="AA39" s="2131"/>
      <c r="AB39" s="2179"/>
      <c r="AC39" s="2179"/>
      <c r="AD39" s="2179"/>
      <c r="AE39" s="2179"/>
      <c r="AF39" s="2131"/>
      <c r="AG39" s="2131"/>
      <c r="AH39" s="2131"/>
      <c r="AI39" s="2131"/>
      <c r="AJ39" s="2131"/>
      <c r="AK39" s="2131"/>
      <c r="AL39" s="2131"/>
      <c r="AM39" s="2131"/>
      <c r="AN39" s="2131"/>
      <c r="AO39" s="2131"/>
      <c r="AP39" s="2131"/>
      <c r="AQ39" s="2131"/>
      <c r="AR39" s="2131"/>
      <c r="AS39" s="2131"/>
      <c r="AT39" s="2131"/>
      <c r="AU39" s="2131" t="s">
        <v>319</v>
      </c>
      <c r="BA39" s="1159">
        <v>14</v>
      </c>
    </row>
    <row customHeight="1" ht="14.699999999999998">
      <c r="Q40" s="295"/>
      <c r="R40" s="380"/>
      <c r="S40" s="2277" t="s">
        <v>88</v>
      </c>
      <c r="T40" s="2213" t="s">
        <v>491</v>
      </c>
      <c r="U40" s="305"/>
      <c r="V40" s="2279"/>
      <c r="W40" s="2279"/>
      <c r="X40" s="2279"/>
      <c r="Y40" s="2279"/>
      <c r="Z40" s="2280"/>
      <c r="AA40" s="2340" t="s">
        <v>448</v>
      </c>
      <c r="AB40" s="2332" t="s">
        <v>492</v>
      </c>
      <c r="AC40" s="2295"/>
      <c r="AD40" s="2295"/>
      <c r="AE40" s="2333"/>
      <c r="AF40" s="2295" t="s">
        <v>493</v>
      </c>
      <c r="AG40" s="2295"/>
      <c r="AH40" s="2295"/>
      <c r="AI40" s="2333"/>
      <c r="AJ40" s="2332" t="s">
        <v>494</v>
      </c>
      <c r="AK40" s="2295"/>
      <c r="AL40" s="2295"/>
      <c r="AM40" s="2333"/>
      <c r="AN40" s="2332" t="s">
        <v>447</v>
      </c>
      <c r="AO40" s="2295"/>
      <c r="AP40" s="2279"/>
      <c r="AQ40" s="2279"/>
      <c r="AR40" s="2280"/>
      <c r="AS40" s="2281" t="s">
        <v>448</v>
      </c>
      <c r="AT40" s="2284" t="s">
        <v>450</v>
      </c>
      <c r="AU40" s="2131"/>
      <c r="BA40" s="1159">
        <v>14</v>
      </c>
    </row>
    <row customHeight="1" ht="35.699999999999996">
      <c r="Q41" s="295"/>
      <c r="R41" s="380"/>
      <c r="S41" s="2277"/>
      <c r="T41" s="2213"/>
      <c r="U41" s="1035"/>
      <c r="V41" s="2131" t="s">
        <v>495</v>
      </c>
      <c r="W41" s="2131"/>
      <c r="X41" s="2298" t="s">
        <v>454</v>
      </c>
      <c r="Y41" s="2317"/>
      <c r="Z41" s="2318"/>
      <c r="AA41" s="2341"/>
      <c r="AB41" s="2334"/>
      <c r="AC41" s="2335"/>
      <c r="AD41" s="2335"/>
      <c r="AE41" s="2336"/>
      <c r="AF41" s="2335"/>
      <c r="AG41" s="2335"/>
      <c r="AH41" s="2335"/>
      <c r="AI41" s="2336"/>
      <c r="AJ41" s="2334"/>
      <c r="AK41" s="2335"/>
      <c r="AL41" s="2335"/>
      <c r="AM41" s="2335"/>
      <c r="AN41" s="2131" t="s">
        <v>495</v>
      </c>
      <c r="AO41" s="2131"/>
      <c r="AP41" s="2317" t="s">
        <v>454</v>
      </c>
      <c r="AQ41" s="2317"/>
      <c r="AR41" s="2318"/>
      <c r="AS41" s="2282"/>
      <c r="AT41" s="2285"/>
      <c r="AU41" s="2131"/>
      <c r="BA41" s="1159">
        <v>34</v>
      </c>
    </row>
    <row customHeight="1" ht="14.699999999999998">
      <c r="Q42" s="295"/>
      <c r="R42" s="380"/>
      <c r="S42" s="2277"/>
      <c r="T42" s="2213"/>
      <c r="U42" s="1035"/>
      <c r="V42" s="2344" t="str">
        <f>IF($AN$42&lt;&gt;"",$AN$42,"")</f>
        <v/>
      </c>
      <c r="W42" s="2344"/>
      <c r="X42" s="2299"/>
      <c r="Y42" s="2319"/>
      <c r="Z42" s="2320"/>
      <c r="AA42" s="2341"/>
      <c r="AB42" s="2334"/>
      <c r="AC42" s="2335"/>
      <c r="AD42" s="2335"/>
      <c r="AE42" s="2336"/>
      <c r="AF42" s="2335"/>
      <c r="AG42" s="2335"/>
      <c r="AH42" s="2335"/>
      <c r="AI42" s="2336"/>
      <c r="AJ42" s="2334"/>
      <c r="AK42" s="2335"/>
      <c r="AL42" s="2335"/>
      <c r="AM42" s="2335"/>
      <c r="AN42" s="2343"/>
      <c r="AO42" s="2343"/>
      <c r="AP42" s="2319"/>
      <c r="AQ42" s="2319"/>
      <c r="AR42" s="2320"/>
      <c r="AS42" s="2282"/>
      <c r="AT42" s="2285"/>
      <c r="AU42" s="2131"/>
      <c r="BA42" s="1159">
        <v>14</v>
      </c>
    </row>
    <row customHeight="1" ht="14.699999999999998">
      <c r="A43" s="1374"/>
      <c r="B43" s="1374" t="s">
        <v>155</v>
      </c>
      <c r="C43" s="1374" t="s">
        <v>156</v>
      </c>
      <c r="D43" s="1374" t="s">
        <v>157</v>
      </c>
      <c r="E43" s="1368" t="s">
        <v>455</v>
      </c>
      <c r="F43" s="1368" t="s">
        <v>456</v>
      </c>
      <c r="G43" s="1368" t="s">
        <v>457</v>
      </c>
      <c r="H43" s="1368" t="s">
        <v>458</v>
      </c>
      <c r="I43" s="1368" t="s">
        <v>459</v>
      </c>
      <c r="J43" s="1368" t="s">
        <v>460</v>
      </c>
      <c r="K43" s="1368" t="s">
        <v>461</v>
      </c>
      <c r="L43" s="1368" t="s">
        <v>436</v>
      </c>
      <c r="Q43" s="295"/>
      <c r="R43" s="380"/>
      <c r="S43" s="2277"/>
      <c r="T43" s="2213"/>
      <c r="U43" s="306"/>
      <c r="V43" s="1334" t="s">
        <v>496</v>
      </c>
      <c r="W43" s="1334" t="s">
        <v>497</v>
      </c>
      <c r="X43" s="1342" t="s">
        <v>464</v>
      </c>
      <c r="Y43" s="2274" t="s">
        <v>465</v>
      </c>
      <c r="Z43" s="2275"/>
      <c r="AA43" s="2342"/>
      <c r="AB43" s="2337"/>
      <c r="AC43" s="2338"/>
      <c r="AD43" s="2338"/>
      <c r="AE43" s="2339"/>
      <c r="AF43" s="2338"/>
      <c r="AG43" s="2338"/>
      <c r="AH43" s="2338"/>
      <c r="AI43" s="2339"/>
      <c r="AJ43" s="2337"/>
      <c r="AK43" s="2338"/>
      <c r="AL43" s="2338"/>
      <c r="AM43" s="2339"/>
      <c r="AN43" s="1864" t="s">
        <v>496</v>
      </c>
      <c r="AO43" s="1864" t="s">
        <v>497</v>
      </c>
      <c r="AP43" s="1342" t="s">
        <v>464</v>
      </c>
      <c r="AQ43" s="2274" t="s">
        <v>465</v>
      </c>
      <c r="AR43" s="2275"/>
      <c r="AS43" s="2283"/>
      <c r="AT43" s="2286"/>
      <c r="AU43" s="2131"/>
      <c r="BA43" s="1159">
        <v>14</v>
      </c>
    </row>
    <row s="1645" customFormat="1" customHeight="1" ht="11.25" hidden="1">
      <c r="A44" s="1374"/>
      <c r="B44" s="1374"/>
      <c r="C44" s="1374"/>
      <c r="D44" s="1374"/>
      <c r="E44" s="1374"/>
      <c r="F44" s="1374"/>
      <c r="G44" s="1374"/>
      <c r="H44" s="1374"/>
      <c r="I44" s="1374"/>
      <c r="J44" s="1374"/>
      <c r="K44" s="1374"/>
      <c r="L44" s="1368"/>
      <c r="M44" s="1366"/>
      <c r="N44" s="1366"/>
      <c r="O44" s="1366"/>
      <c r="P44" s="514"/>
      <c r="Q44" s="1258"/>
      <c r="R44" s="1258">
        <v>1</v>
      </c>
      <c r="S44" s="1281" t="s">
        <v>119</v>
      </c>
      <c r="T44" s="1259" t="s">
        <v>103</v>
      </c>
      <c r="U44" s="1249" t="str">
        <f>OFFSET(U44,0,-1)</f>
        <v>2</v>
      </c>
      <c r="V44" s="1339">
        <f>OFFSET(V44,0,-1)+1</f>
        <v>3</v>
      </c>
      <c r="W44" s="1339">
        <f>OFFSET(W44,0,-1)+1</f>
        <v>4</v>
      </c>
      <c r="X44" s="1339">
        <f>OFFSET(X44,0,-1)+1</f>
        <v>5</v>
      </c>
      <c r="Y44" s="2276">
        <f>OFFSET(Y44,0,-1)+1</f>
        <v>6</v>
      </c>
      <c r="Z44" s="2276"/>
      <c r="AA44" s="1339">
        <f>OFFSET(AA44,0,-2)+1</f>
        <v>7</v>
      </c>
      <c r="AB44" s="1345">
        <f>OFFSET(AB44,0,-1)+1</f>
        <v>8</v>
      </c>
      <c r="AC44" s="1345"/>
      <c r="AD44" s="1345"/>
      <c r="AE44" s="1345"/>
      <c r="AF44" s="1339"/>
      <c r="AG44" s="1339"/>
      <c r="AH44" s="1339"/>
      <c r="AI44" s="1339"/>
      <c r="AJ44" s="1339"/>
      <c r="AK44" s="1339"/>
      <c r="AL44" s="1339"/>
      <c r="AM44" s="1339"/>
      <c r="AN44" s="1339">
        <f>OFFSET(AN44,0,-1)+1</f>
        <v>1</v>
      </c>
      <c r="AO44" s="1339">
        <f>OFFSET(AO44,0,-1)+1</f>
        <v>2</v>
      </c>
      <c r="AP44" s="1339">
        <f>OFFSET(AP44,0,-1)+1</f>
        <v>3</v>
      </c>
      <c r="AQ44" s="2276">
        <f>OFFSET(AQ44,0,-1)+1</f>
        <v>4</v>
      </c>
      <c r="AR44" s="2276"/>
      <c r="AS44" s="1339">
        <f>OFFSET(AS44,0,-2)+1</f>
        <v>5</v>
      </c>
      <c r="AT44" s="1249">
        <f>OFFSET(AT44,0,-1)</f>
        <v>5</v>
      </c>
      <c r="AU44" s="1339">
        <f>OFFSET(AU44,0,-1)+1</f>
        <v>6</v>
      </c>
      <c r="AV44" s="515"/>
      <c r="AW44" s="515"/>
      <c r="AX44" s="515"/>
      <c r="AY44" s="515"/>
      <c r="AZ44" s="515"/>
      <c r="BA44" s="500">
        <v>0</v>
      </c>
    </row>
    <row customHeight="1" ht="107.25">
      <c r="A45" s="1367" t="s">
        <v>218</v>
      </c>
      <c r="B45" s="1367"/>
      <c r="C45" s="1367"/>
      <c r="D45" s="1367"/>
      <c r="E45" s="2262">
        <v>1</v>
      </c>
      <c r="F45" s="1367"/>
      <c r="G45" s="1367"/>
      <c r="H45" s="1367"/>
      <c r="I45" s="1367"/>
      <c r="J45" s="1367"/>
      <c r="K45" s="1367"/>
      <c r="L45" s="1368"/>
      <c r="M45" s="1369"/>
      <c r="N45" s="1369"/>
      <c r="O45" s="1369"/>
      <c r="P45" s="1413"/>
      <c r="Q45" s="877"/>
      <c r="R45" s="359"/>
      <c r="S45" s="1340">
        <f>INDEX(PT_DIFFERENTIATION_NUM_NTAR,MATCH(A45,PT_DIFFERENTIATION_NTAR_ID,0))</f>
        <v>0</v>
      </c>
      <c r="T45" s="302" t="s">
        <v>143</v>
      </c>
      <c r="U45" s="304"/>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4"/>
      <c r="AX45" s="504" t="str">
        <f>IF(T45="","",T45)</f>
        <v>Наименование тарифа</v>
      </c>
      <c r="AY45" s="504"/>
      <c r="AZ45" s="504"/>
      <c r="BA45" s="1159">
        <v>102</v>
      </c>
    </row>
    <row customHeight="1" ht="22.049999999999997">
      <c r="A46" s="1367" t="s">
        <v>218</v>
      </c>
      <c r="B46" s="1367" t="s">
        <v>219</v>
      </c>
      <c r="C46" s="1367"/>
      <c r="D46" s="1367"/>
      <c r="E46" s="2263"/>
      <c r="F46" s="2262">
        <v>1</v>
      </c>
      <c r="G46" s="1367"/>
      <c r="H46" s="1367"/>
      <c r="I46" s="1367"/>
      <c r="J46" s="1367"/>
      <c r="K46" s="1367"/>
      <c r="L46" s="1368"/>
      <c r="M46" s="1369"/>
      <c r="N46" s="1369"/>
      <c r="O46" s="1369"/>
      <c r="P46" s="1414"/>
      <c r="Q46" s="1415"/>
      <c r="R46" s="357"/>
      <c r="S46" s="1340" t="str">
        <f>INDEX(PT_DIFFERENTIATION_NUM_TER,MATCH(B46,PT_DIFFERENTIATION_TER_ID,0))</f>
        <v>.</v>
      </c>
      <c r="T46" s="312" t="s">
        <v>415</v>
      </c>
      <c r="U46" s="304"/>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262" t="s">
        <v>416</v>
      </c>
      <c r="AW46" s="504"/>
      <c r="AX46" s="504" t="str">
        <f>IF(T46="","",T46)</f>
        <v>Территория действия тарифа</v>
      </c>
      <c r="AY46" s="504"/>
      <c r="AZ46" s="504"/>
      <c r="BA46" s="1159">
        <v>21</v>
      </c>
    </row>
    <row customHeight="1" ht="24">
      <c r="A47" s="1367" t="s">
        <v>218</v>
      </c>
      <c r="B47" s="1367" t="s">
        <v>219</v>
      </c>
      <c r="C47" s="1367" t="s">
        <v>220</v>
      </c>
      <c r="D47" s="1367"/>
      <c r="E47" s="2263"/>
      <c r="F47" s="2263"/>
      <c r="G47" s="2262">
        <v>1</v>
      </c>
      <c r="H47" s="1367"/>
      <c r="I47" s="1367"/>
      <c r="J47" s="1367"/>
      <c r="K47" s="1367"/>
      <c r="L47" s="1368"/>
      <c r="M47" s="1369"/>
      <c r="N47" s="1369"/>
      <c r="O47" s="1369"/>
      <c r="P47" s="1416"/>
      <c r="Q47" s="1415"/>
      <c r="R47" s="357"/>
      <c r="S47" s="1340" t="str">
        <f>INDEX(PT_DIFFERENTIATION_NUM_CS,MATCH(C47,PT_DIFFERENTIATION_CS_ID,0))</f>
        <v>..</v>
      </c>
      <c r="T47" s="313" t="s">
        <v>417</v>
      </c>
      <c r="U47" s="304"/>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262" t="s">
        <v>418</v>
      </c>
      <c r="AW47" s="504"/>
      <c r="AX47" s="504" t="str">
        <f>IF(T47="","",T47)</f>
        <v>Наименование системы теплоснабжения </v>
      </c>
      <c r="AY47" s="504"/>
      <c r="AZ47" s="504"/>
      <c r="BA47" s="1159">
        <v>23</v>
      </c>
    </row>
    <row customHeight="1" ht="21">
      <c r="A48" s="1367" t="s">
        <v>218</v>
      </c>
      <c r="B48" s="1367" t="s">
        <v>219</v>
      </c>
      <c r="C48" s="1367" t="s">
        <v>220</v>
      </c>
      <c r="D48" s="1367" t="s">
        <v>221</v>
      </c>
      <c r="E48" s="2263"/>
      <c r="F48" s="2263"/>
      <c r="G48" s="2263"/>
      <c r="H48" s="2262">
        <v>1</v>
      </c>
      <c r="I48" s="1367"/>
      <c r="J48" s="1367"/>
      <c r="K48" s="1367"/>
      <c r="L48" s="1368"/>
      <c r="M48" s="1369"/>
      <c r="N48" s="1369"/>
      <c r="O48" s="1369"/>
      <c r="P48" s="1416"/>
      <c r="Q48" s="1415"/>
      <c r="R48" s="357"/>
      <c r="S48" s="1340" t="str">
        <f>INDEX(PT_DIFFERENTIATION_NUM_IST_TE,MATCH(D48,PT_DIFFERENTIATION_IST_TE_ID,0))</f>
        <v>...</v>
      </c>
      <c r="T48" s="314" t="s">
        <v>419</v>
      </c>
      <c r="U48" s="304"/>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262" t="s">
        <v>420</v>
      </c>
      <c r="AW48" s="504"/>
      <c r="AX48" s="504" t="str">
        <f>IF(T48="","",T48)</f>
        <v>Источник тепловой энергии  </v>
      </c>
      <c r="AY48" s="504"/>
      <c r="AZ48" s="504"/>
      <c r="BA48" s="1159">
        <v>20</v>
      </c>
    </row>
    <row s="1646" customFormat="1" customHeight="1" ht="1.05">
      <c r="A49" s="1347" t="s">
        <v>218</v>
      </c>
      <c r="B49" s="1347" t="s">
        <v>219</v>
      </c>
      <c r="C49" s="1347" t="s">
        <v>220</v>
      </c>
      <c r="D49" s="1347" t="s">
        <v>221</v>
      </c>
      <c r="E49" s="2263"/>
      <c r="F49" s="2263"/>
      <c r="G49" s="2263"/>
      <c r="H49" s="2263"/>
      <c r="I49" s="2260" t="str">
        <f>S48&amp;".1"</f>
        <v>....1</v>
      </c>
      <c r="J49" s="1347"/>
      <c r="K49" s="1347"/>
      <c r="L49" s="1350" t="s">
        <v>421</v>
      </c>
      <c r="M49" s="514"/>
      <c r="N49" s="514"/>
      <c r="O49" s="514"/>
      <c r="P49" s="2261">
        <v>1</v>
      </c>
      <c r="Q49" s="1335"/>
      <c r="R49" s="360"/>
      <c r="S49" s="1046"/>
      <c r="T49" s="1387"/>
      <c r="U49" s="1388"/>
      <c r="V49" s="2301"/>
      <c r="W49" s="2301"/>
      <c r="X49" s="2301"/>
      <c r="Y49" s="2301"/>
      <c r="Z49" s="2301"/>
      <c r="AA49" s="2302"/>
      <c r="AB49" s="2300"/>
      <c r="AC49" s="2301"/>
      <c r="AD49" s="2301"/>
      <c r="AE49" s="2301"/>
      <c r="AF49" s="2301"/>
      <c r="AG49" s="2301"/>
      <c r="AH49" s="2301"/>
      <c r="AI49" s="2301"/>
      <c r="AJ49" s="2301"/>
      <c r="AK49" s="2301"/>
      <c r="AL49" s="2301"/>
      <c r="AM49" s="2301"/>
      <c r="AN49" s="2301"/>
      <c r="AO49" s="2301"/>
      <c r="AP49" s="2301"/>
      <c r="AQ49" s="2301"/>
      <c r="AR49" s="2301"/>
      <c r="AS49" s="2301"/>
      <c r="AT49" s="2302"/>
      <c r="AU49" s="1389"/>
      <c r="AW49" s="504"/>
      <c r="AX49" s="504" t="str">
        <f>IF(T49="","",T49)</f>
        <v/>
      </c>
      <c r="AY49" s="504"/>
      <c r="AZ49" s="504"/>
      <c r="BA49" s="515">
        <v>1</v>
      </c>
    </row>
    <row s="1646" customFormat="1" customHeight="1" ht="1.05">
      <c r="A50" s="1347" t="s">
        <v>218</v>
      </c>
      <c r="B50" s="1347" t="s">
        <v>219</v>
      </c>
      <c r="C50" s="1347" t="s">
        <v>220</v>
      </c>
      <c r="D50" s="1347" t="s">
        <v>221</v>
      </c>
      <c r="E50" s="2263"/>
      <c r="F50" s="2263"/>
      <c r="G50" s="2263"/>
      <c r="H50" s="2263"/>
      <c r="I50" s="2290"/>
      <c r="J50" s="2260" t="str">
        <f>S48&amp;".1"</f>
        <v>....1</v>
      </c>
      <c r="K50" s="1347"/>
      <c r="L50" s="1350"/>
      <c r="M50" s="514"/>
      <c r="N50" s="514"/>
      <c r="O50" s="514"/>
      <c r="P50" s="2261"/>
      <c r="Q50" s="2261">
        <v>1</v>
      </c>
      <c r="R50" s="361"/>
      <c r="S50" s="1046"/>
      <c r="T50" s="1403"/>
      <c r="U50" s="1388"/>
      <c r="V50" s="2301"/>
      <c r="W50" s="2301"/>
      <c r="X50" s="2301"/>
      <c r="Y50" s="2301"/>
      <c r="Z50" s="2301"/>
      <c r="AA50" s="2302"/>
      <c r="AB50" s="2300"/>
      <c r="AC50" s="2301"/>
      <c r="AD50" s="2301"/>
      <c r="AE50" s="2301"/>
      <c r="AF50" s="2301"/>
      <c r="AG50" s="2301"/>
      <c r="AH50" s="2301"/>
      <c r="AI50" s="2301"/>
      <c r="AJ50" s="2301"/>
      <c r="AK50" s="2301"/>
      <c r="AL50" s="2301"/>
      <c r="AM50" s="2301"/>
      <c r="AN50" s="2301"/>
      <c r="AO50" s="2301"/>
      <c r="AP50" s="2301"/>
      <c r="AQ50" s="2301"/>
      <c r="AR50" s="2301"/>
      <c r="AS50" s="2301"/>
      <c r="AT50" s="2302"/>
      <c r="AU50" s="1389"/>
      <c r="AW50" s="504"/>
      <c r="AX50" s="504" t="str">
        <f>IF(T50="","",T50)</f>
        <v/>
      </c>
      <c r="AY50" s="504"/>
      <c r="AZ50" s="504"/>
      <c r="BA50" s="515">
        <v>1</v>
      </c>
    </row>
    <row customHeight="1" ht="22.049999999999997">
      <c r="A51" s="1367" t="s">
        <v>218</v>
      </c>
      <c r="B51" s="1367" t="s">
        <v>219</v>
      </c>
      <c r="C51" s="1367" t="s">
        <v>220</v>
      </c>
      <c r="D51" s="1367" t="s">
        <v>221</v>
      </c>
      <c r="E51" s="2263"/>
      <c r="F51" s="2263"/>
      <c r="G51" s="2263"/>
      <c r="H51" s="2263"/>
      <c r="I51" s="2290"/>
      <c r="J51" s="2290"/>
      <c r="K51" s="2260" t="str">
        <f>S48&amp;".1"</f>
        <v>....1</v>
      </c>
      <c r="L51" s="1368"/>
      <c r="P51" s="2261"/>
      <c r="Q51" s="2261"/>
      <c r="R51" s="361">
        <v>1</v>
      </c>
      <c r="S51" s="2345" t="str">
        <f>$K51</f>
        <v>....1</v>
      </c>
      <c r="T51" s="2348"/>
      <c r="U51" s="304"/>
      <c r="V51" s="755"/>
      <c r="W51" s="1261"/>
      <c r="X51" s="1738"/>
      <c r="Y51" s="1463" t="s">
        <v>62</v>
      </c>
      <c r="Z51" s="1738"/>
      <c r="AA51" s="1463" t="s">
        <v>62</v>
      </c>
      <c r="AB51" s="2111" t="s">
        <v>19</v>
      </c>
      <c r="AC51" s="2330"/>
      <c r="AD51" s="2209">
        <v>1</v>
      </c>
      <c r="AE51" s="2352" t="s">
        <v>22</v>
      </c>
      <c r="AF51" s="2111" t="s">
        <v>19</v>
      </c>
      <c r="AG51" s="2330"/>
      <c r="AH51" s="2209">
        <v>1</v>
      </c>
      <c r="AI51" s="2352" t="s">
        <v>22</v>
      </c>
      <c r="AJ51" s="2111" t="s">
        <v>19</v>
      </c>
      <c r="AK51" s="315"/>
      <c r="AL51" s="1341">
        <v>1</v>
      </c>
      <c r="AM51" s="1406"/>
      <c r="AN51" s="755"/>
      <c r="AO51" s="1261"/>
      <c r="AP51" s="1738"/>
      <c r="AQ51" s="1463" t="s">
        <v>62</v>
      </c>
      <c r="AR51" s="1738"/>
      <c r="AS51" s="1463" t="s">
        <v>62</v>
      </c>
      <c r="AT51" s="1352"/>
      <c r="AU51" s="2257" t="s">
        <v>498</v>
      </c>
      <c r="AV51" s="515">
        <f>STRCHECKDATE(V54:AT54)</f>
      </c>
      <c r="AW51" s="504"/>
      <c r="AX51" s="504" t="str">
        <f>IF(T51="","",T51)</f>
        <v/>
      </c>
      <c r="AY51" s="504"/>
      <c r="AZ51" s="504"/>
      <c r="BA51" s="1159">
        <v>21</v>
      </c>
    </row>
    <row customHeight="1" ht="11.549999999999999">
      <c r="A52" s="1367" t="s">
        <v>218</v>
      </c>
      <c r="B52" s="1367"/>
      <c r="C52" s="1367"/>
      <c r="D52" s="1367"/>
      <c r="E52" s="2263"/>
      <c r="F52" s="2263"/>
      <c r="G52" s="2263"/>
      <c r="H52" s="2263"/>
      <c r="I52" s="2290"/>
      <c r="J52" s="2290"/>
      <c r="K52" s="2260"/>
      <c r="L52" s="1368"/>
      <c r="P52" s="2261"/>
      <c r="Q52" s="2261"/>
      <c r="R52" s="361"/>
      <c r="S52" s="2346"/>
      <c r="T52" s="2349"/>
      <c r="U52" s="304"/>
      <c r="V52" s="1397"/>
      <c r="W52" s="1500"/>
      <c r="X52" s="1397"/>
      <c r="Y52" s="1397"/>
      <c r="Z52" s="1397"/>
      <c r="AA52" s="1397"/>
      <c r="AB52" s="2111"/>
      <c r="AC52" s="2330"/>
      <c r="AD52" s="2209"/>
      <c r="AE52" s="2352"/>
      <c r="AF52" s="2111"/>
      <c r="AG52" s="2330"/>
      <c r="AH52" s="2209"/>
      <c r="AI52" s="2352"/>
      <c r="AJ52" s="2111"/>
      <c r="AK52" s="320"/>
      <c r="AL52" s="420"/>
      <c r="AM52" s="419" t="s">
        <v>483</v>
      </c>
      <c r="AN52" s="1397"/>
      <c r="AO52" s="1500"/>
      <c r="AP52" s="1397"/>
      <c r="AQ52" s="1397"/>
      <c r="AR52" s="1397"/>
      <c r="AS52" s="1397"/>
      <c r="AT52" s="1394"/>
      <c r="AU52" s="2258"/>
      <c r="AW52" s="504"/>
      <c r="AX52" s="504"/>
      <c r="AY52" s="504"/>
      <c r="AZ52" s="504"/>
      <c r="BA52" s="1159">
        <v>11</v>
      </c>
    </row>
    <row customHeight="1" ht="11.549999999999999">
      <c r="A53" s="1367" t="s">
        <v>218</v>
      </c>
      <c r="B53" s="1367"/>
      <c r="C53" s="1367"/>
      <c r="D53" s="1367"/>
      <c r="E53" s="2263"/>
      <c r="F53" s="2263"/>
      <c r="G53" s="2263"/>
      <c r="H53" s="2263"/>
      <c r="I53" s="2290"/>
      <c r="J53" s="2290"/>
      <c r="K53" s="2260"/>
      <c r="L53" s="1368"/>
      <c r="P53" s="2261"/>
      <c r="Q53" s="2261"/>
      <c r="R53" s="361"/>
      <c r="S53" s="2346"/>
      <c r="T53" s="2349"/>
      <c r="U53" s="304"/>
      <c r="V53" s="1397"/>
      <c r="W53" s="1500"/>
      <c r="X53" s="1397"/>
      <c r="Y53" s="1397"/>
      <c r="Z53" s="1397"/>
      <c r="AA53" s="1397"/>
      <c r="AB53" s="2111"/>
      <c r="AC53" s="2330"/>
      <c r="AD53" s="2209"/>
      <c r="AE53" s="2352"/>
      <c r="AF53" s="2111"/>
      <c r="AG53" s="298"/>
      <c r="AH53" s="419"/>
      <c r="AI53" s="419" t="s">
        <v>484</v>
      </c>
      <c r="AJ53" s="1397"/>
      <c r="AK53" s="1397"/>
      <c r="AL53" s="1397"/>
      <c r="AM53" s="1397"/>
      <c r="AN53" s="1397"/>
      <c r="AO53" s="1500"/>
      <c r="AP53" s="1397"/>
      <c r="AQ53" s="1397"/>
      <c r="AR53" s="1397"/>
      <c r="AS53" s="1397"/>
      <c r="AT53" s="1394"/>
      <c r="AU53" s="2258"/>
      <c r="AW53" s="504"/>
      <c r="AX53" s="504"/>
      <c r="AY53" s="504"/>
      <c r="AZ53" s="504"/>
      <c r="BA53" s="1159">
        <v>11</v>
      </c>
    </row>
    <row customHeight="1" ht="11.549999999999999">
      <c r="A54" s="1367" t="s">
        <v>218</v>
      </c>
      <c r="B54" s="1367" t="s">
        <v>219</v>
      </c>
      <c r="C54" s="1367" t="s">
        <v>220</v>
      </c>
      <c r="D54" s="1367" t="s">
        <v>221</v>
      </c>
      <c r="E54" s="2263"/>
      <c r="F54" s="2263"/>
      <c r="G54" s="2263"/>
      <c r="H54" s="2263"/>
      <c r="I54" s="2290"/>
      <c r="J54" s="2290"/>
      <c r="K54" s="2260"/>
      <c r="L54" s="1368"/>
      <c r="P54" s="2261"/>
      <c r="Q54" s="2261"/>
      <c r="R54" s="361"/>
      <c r="S54" s="2347"/>
      <c r="T54" s="2350"/>
      <c r="U54" s="304"/>
      <c r="V54" s="1397"/>
      <c r="W54" s="1398" t="str">
        <f>X51&amp;"-"&amp;Z51</f>
        <v>-</v>
      </c>
      <c r="X54" s="1397"/>
      <c r="Y54" s="1397"/>
      <c r="Z54" s="1397"/>
      <c r="AA54" s="1397"/>
      <c r="AB54" s="2111"/>
      <c r="AC54" s="316"/>
      <c r="AD54" s="318"/>
      <c r="AE54" s="419" t="s">
        <v>485</v>
      </c>
      <c r="AF54" s="1397"/>
      <c r="AG54" s="1397"/>
      <c r="AH54" s="1397"/>
      <c r="AI54" s="1397"/>
      <c r="AJ54" s="1397"/>
      <c r="AK54" s="1397"/>
      <c r="AL54" s="1397"/>
      <c r="AM54" s="1397"/>
      <c r="AN54" s="1397"/>
      <c r="AO54" s="1398" t="str">
        <f>AP51&amp;"-"&amp;AR51</f>
        <v>-</v>
      </c>
      <c r="AP54" s="1397"/>
      <c r="AQ54" s="1397"/>
      <c r="AR54" s="1397"/>
      <c r="AS54" s="1397"/>
      <c r="AT54" s="1353"/>
      <c r="AU54" s="2258"/>
      <c r="AW54" s="504"/>
      <c r="AX54" s="504" t="str">
        <f>IF(T54="","",T54)</f>
        <v/>
      </c>
      <c r="AY54" s="504"/>
      <c r="AZ54" s="504"/>
      <c r="BA54" s="1159">
        <v>11</v>
      </c>
    </row>
    <row customHeight="1" ht="11.549999999999999">
      <c r="A55" s="1367" t="s">
        <v>218</v>
      </c>
      <c r="B55" s="1367" t="s">
        <v>219</v>
      </c>
      <c r="C55" s="1367" t="s">
        <v>220</v>
      </c>
      <c r="D55" s="1367" t="s">
        <v>221</v>
      </c>
      <c r="E55" s="2263"/>
      <c r="F55" s="2263"/>
      <c r="G55" s="2263"/>
      <c r="H55" s="2263"/>
      <c r="I55" s="2290"/>
      <c r="J55" s="2260"/>
      <c r="K55" s="1367"/>
      <c r="L55" s="1368"/>
      <c r="P55" s="2261"/>
      <c r="Q55" s="2261"/>
      <c r="R55" s="360"/>
      <c r="S55" s="1282"/>
      <c r="T55" s="291" t="s">
        <v>486</v>
      </c>
      <c r="U55" s="371"/>
      <c r="V55" s="371"/>
      <c r="W55" s="371"/>
      <c r="X55" s="371"/>
      <c r="Y55" s="371"/>
      <c r="Z55" s="371"/>
      <c r="AA55" s="328"/>
      <c r="AB55" s="1509"/>
      <c r="AC55" s="371"/>
      <c r="AD55" s="371"/>
      <c r="AE55" s="371"/>
      <c r="AF55" s="371"/>
      <c r="AG55" s="371"/>
      <c r="AH55" s="371"/>
      <c r="AI55" s="371"/>
      <c r="AJ55" s="371"/>
      <c r="AK55" s="371"/>
      <c r="AL55" s="371"/>
      <c r="AM55" s="371"/>
      <c r="AN55" s="371"/>
      <c r="AO55" s="371"/>
      <c r="AP55" s="371"/>
      <c r="AQ55" s="371"/>
      <c r="AR55" s="371"/>
      <c r="AS55" s="371"/>
      <c r="AT55" s="328"/>
      <c r="AU55" s="2259"/>
      <c r="AW55" s="504"/>
      <c r="AX55" s="504" t="str">
        <f>IF(T55="","",T55)</f>
        <v>Добавить строку</v>
      </c>
      <c r="AY55" s="504"/>
      <c r="AZ55" s="504"/>
      <c r="BA55" s="1159">
        <v>11</v>
      </c>
    </row>
    <row s="1646" customFormat="1" customHeight="1" ht="1.05">
      <c r="A56" s="1347" t="s">
        <v>218</v>
      </c>
      <c r="B56" s="1347" t="s">
        <v>219</v>
      </c>
      <c r="C56" s="1347" t="s">
        <v>220</v>
      </c>
      <c r="D56" s="1347" t="s">
        <v>221</v>
      </c>
      <c r="E56" s="2263"/>
      <c r="F56" s="2263"/>
      <c r="G56" s="2263"/>
      <c r="H56" s="2263"/>
      <c r="I56" s="2260"/>
      <c r="J56" s="1347"/>
      <c r="K56" s="1347"/>
      <c r="L56" s="1350"/>
      <c r="M56" s="514"/>
      <c r="N56" s="514"/>
      <c r="O56" s="514"/>
      <c r="P56" s="2261"/>
      <c r="Q56" s="1335"/>
      <c r="R56" s="360"/>
      <c r="S56" s="1390"/>
      <c r="T56" s="1391" t="s">
        <v>430</v>
      </c>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AU56" s="1393"/>
      <c r="AW56" s="504"/>
      <c r="AX56" s="504" t="str">
        <f>IF(T56="","",T56)</f>
        <v>Добавить группу потребителей</v>
      </c>
      <c r="AY56" s="504"/>
      <c r="AZ56" s="504"/>
      <c r="BA56" s="515">
        <v>1</v>
      </c>
    </row>
    <row s="1645" customFormat="1" customHeight="1" ht="1.05">
      <c r="A57" s="1347" t="s">
        <v>218</v>
      </c>
      <c r="B57" s="1347" t="s">
        <v>219</v>
      </c>
      <c r="C57" s="1347" t="s">
        <v>220</v>
      </c>
      <c r="D57" s="1347" t="s">
        <v>221</v>
      </c>
      <c r="E57" s="2263"/>
      <c r="F57" s="2263"/>
      <c r="G57" s="2263"/>
      <c r="H57" s="2262"/>
      <c r="I57" s="1347"/>
      <c r="J57" s="1347"/>
      <c r="K57" s="1347"/>
      <c r="L57" s="1350"/>
      <c r="M57" s="1319"/>
      <c r="N57" s="1319"/>
      <c r="O57" s="522"/>
      <c r="P57" s="384"/>
      <c r="Q57" s="1348"/>
      <c r="R57" s="1404"/>
      <c r="S57" s="1390"/>
      <c r="T57" s="1391"/>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3"/>
      <c r="AV57" s="515"/>
      <c r="AW57" s="504"/>
      <c r="AX57" s="504" t="str">
        <f>IF(T57="","",T57)</f>
        <v/>
      </c>
      <c r="AY57" s="504"/>
      <c r="AZ57" s="504"/>
      <c r="BA57" s="500">
        <v>1</v>
      </c>
    </row>
    <row s="1646" customFormat="1" customHeight="1" ht="1.05">
      <c r="A58" s="1347" t="s">
        <v>218</v>
      </c>
      <c r="B58" s="1347" t="s">
        <v>219</v>
      </c>
      <c r="C58" s="1347" t="s">
        <v>220</v>
      </c>
      <c r="D58" s="1318"/>
      <c r="E58" s="2263"/>
      <c r="F58" s="2263"/>
      <c r="G58" s="2262"/>
      <c r="H58" s="1318"/>
      <c r="I58" s="1318"/>
      <c r="J58" s="1318"/>
      <c r="K58" s="1318"/>
      <c r="L58" s="1343"/>
      <c r="M58" s="1319"/>
      <c r="N58" s="1319"/>
      <c r="P58" s="1320"/>
      <c r="Q58" s="1321"/>
      <c r="R58" s="1320"/>
      <c r="S58" s="1326"/>
      <c r="T58" s="1329" t="s">
        <v>432</v>
      </c>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W58" s="793"/>
      <c r="AX58" s="793" t="str">
        <f>IF(T58="","",T58)</f>
        <v>Добавить источник для дифференциации</v>
      </c>
      <c r="AY58" s="793"/>
      <c r="AZ58" s="793"/>
      <c r="BA58" s="522">
        <v>1</v>
      </c>
    </row>
    <row s="1646" customFormat="1" customHeight="1" ht="1.05">
      <c r="A59" s="1347" t="s">
        <v>218</v>
      </c>
      <c r="B59" s="1347" t="s">
        <v>219</v>
      </c>
      <c r="C59" s="1318"/>
      <c r="D59" s="1318"/>
      <c r="E59" s="2263"/>
      <c r="F59" s="2262"/>
      <c r="G59" s="1318"/>
      <c r="H59" s="1318"/>
      <c r="I59" s="1318"/>
      <c r="J59" s="1318"/>
      <c r="K59" s="1318"/>
      <c r="L59" s="1343"/>
      <c r="M59" s="1325"/>
      <c r="N59" s="1325"/>
      <c r="P59" s="1320"/>
      <c r="Q59" s="1321"/>
      <c r="R59" s="1320"/>
      <c r="S59" s="1326"/>
      <c r="T59" s="1329" t="s">
        <v>433</v>
      </c>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W59" s="793"/>
      <c r="AX59" s="793" t="str">
        <f>IF(T59="","",T59)</f>
        <v>Добавить централизованную систему для дифференциации</v>
      </c>
      <c r="AY59" s="793"/>
      <c r="AZ59" s="793"/>
      <c r="BA59" s="522">
        <v>1</v>
      </c>
    </row>
    <row s="1646" customFormat="1" customHeight="1" ht="1.05">
      <c r="A60" s="1347" t="s">
        <v>218</v>
      </c>
      <c r="B60" s="1347"/>
      <c r="C60" s="1347"/>
      <c r="D60" s="1347"/>
      <c r="E60" s="2263"/>
      <c r="F60" s="1347"/>
      <c r="G60" s="1347"/>
      <c r="H60" s="1347"/>
      <c r="I60" s="1347"/>
      <c r="J60" s="1347"/>
      <c r="K60" s="1347"/>
      <c r="L60" s="1350"/>
      <c r="M60" s="1325"/>
      <c r="N60" s="1325"/>
      <c r="O60" s="522"/>
      <c r="P60" s="384"/>
      <c r="Q60" s="1348"/>
      <c r="R60" s="384"/>
      <c r="S60" s="1326"/>
      <c r="T60" s="1329" t="s">
        <v>434</v>
      </c>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W60" s="504"/>
      <c r="AX60" s="504" t="str">
        <f>IF(T60="","",T60)</f>
        <v>Добавить территорию для дифференциации</v>
      </c>
      <c r="AY60" s="504"/>
      <c r="AZ60" s="504"/>
      <c r="BA60" s="515">
        <v>1</v>
      </c>
    </row>
    <row s="1646" customFormat="1" customHeight="1" ht="1.05">
      <c r="A61" s="1347" t="s">
        <v>218</v>
      </c>
      <c r="B61" s="1347"/>
      <c r="C61" s="1347"/>
      <c r="D61" s="1347"/>
      <c r="E61" s="2262"/>
      <c r="F61" s="1347"/>
      <c r="G61" s="1347"/>
      <c r="H61" s="1347"/>
      <c r="I61" s="1347"/>
      <c r="J61" s="1347"/>
      <c r="K61" s="1347"/>
      <c r="L61" s="1350"/>
      <c r="M61" s="1325"/>
      <c r="N61" s="1325"/>
      <c r="O61" s="522"/>
      <c r="P61" s="384"/>
      <c r="Q61" s="1348"/>
      <c r="R61" s="384"/>
      <c r="S61" s="1326"/>
      <c r="T61" s="1329" t="s">
        <v>434</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W61" s="504"/>
      <c r="AX61" s="504" t="str">
        <f>IF(T61="","",T61)</f>
        <v>Добавить территорию для дифференциации</v>
      </c>
      <c r="AY61" s="504"/>
      <c r="AZ61" s="504"/>
      <c r="BA61" s="515">
        <v>1</v>
      </c>
    </row>
    <row s="1646" customFormat="1" customHeight="1" ht="1.05">
      <c r="A62" s="1318"/>
      <c r="B62" s="1318"/>
      <c r="C62" s="1318"/>
      <c r="D62" s="1318"/>
      <c r="E62" s="1347"/>
      <c r="F62" s="1318"/>
      <c r="G62" s="1318"/>
      <c r="H62" s="1318"/>
      <c r="I62" s="1318"/>
      <c r="J62" s="1318"/>
      <c r="K62" s="1318"/>
      <c r="L62" s="1343"/>
      <c r="M62" s="1325"/>
      <c r="N62" s="1325"/>
      <c r="P62" s="1320"/>
      <c r="Q62" s="1321"/>
      <c r="R62" s="1320"/>
      <c r="S62" s="1326"/>
      <c r="T62" s="1329" t="s">
        <v>466</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W62" s="793"/>
      <c r="AX62" s="793" t="str">
        <f>IF(T62="","",T62)</f>
        <v>Добавить наименование тарифа</v>
      </c>
      <c r="AY62" s="793"/>
      <c r="AZ62" s="793"/>
      <c r="BA62" s="522">
        <v>1</v>
      </c>
    </row>
    <row customHeight="1" ht="11.549999999999999">
      <c r="M63" s="1164"/>
      <c r="N63" s="1164"/>
      <c r="O63" s="541"/>
      <c r="P63" s="1164"/>
      <c r="Q63" s="1164"/>
      <c r="R63" s="1159"/>
      <c r="S63" s="1159"/>
      <c r="AV63" s="1159"/>
      <c r="AW63" s="1159"/>
      <c r="AX63" s="1159"/>
      <c r="AY63" s="1159"/>
      <c r="AZ63" s="1159"/>
      <c r="BA63" s="1159">
        <v>11</v>
      </c>
    </row>
    <row customHeight="1" ht="19.9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BA64" s="1159">
        <v>19</v>
      </c>
    </row>
    <row customHeight="1" ht="21">
      <c r="O65" s="54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BA65" s="1159">
        <v>20</v>
      </c>
    </row>
    <row customHeight="1" ht="14.699999999999998">
      <c r="O66" s="541"/>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BA66" s="1159">
        <v>14</v>
      </c>
    </row>
    <row customHeight="1" ht="19.95">
      <c r="O67" s="54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BA67" s="1159">
        <v>19</v>
      </c>
    </row>
    <row customHeight="1" ht="16.8">
      <c r="O68" s="541"/>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BA68" s="1159">
        <v>16</v>
      </c>
    </row>
    <row customHeight="1" ht="14.699999999999998">
      <c r="O69" s="541"/>
      <c r="BA69" s="1159">
        <v>14</v>
      </c>
    </row>
    <row customHeight="1" ht="22.5" hidden="1">
      <c r="A70" s="1164" t="s">
        <v>82</v>
      </c>
      <c r="B70" s="1164">
        <v>0</v>
      </c>
      <c r="C70" s="1164">
        <v>0</v>
      </c>
      <c r="D70" s="1164">
        <v>0</v>
      </c>
      <c r="E70" s="1164">
        <v>0</v>
      </c>
      <c r="F70" s="1164">
        <v>0</v>
      </c>
      <c r="G70" s="1164">
        <v>0</v>
      </c>
      <c r="H70" s="1164">
        <v>0</v>
      </c>
      <c r="I70" s="1164">
        <v>0</v>
      </c>
      <c r="J70" s="1164">
        <v>0</v>
      </c>
      <c r="K70" s="1164">
        <v>0</v>
      </c>
      <c r="L70" s="1333">
        <v>0</v>
      </c>
      <c r="M70" s="1366">
        <v>0</v>
      </c>
      <c r="N70" s="1366">
        <v>0</v>
      </c>
      <c r="O70" s="1366">
        <v>0</v>
      </c>
      <c r="P70" s="1366">
        <v>3</v>
      </c>
      <c r="Q70" s="1375">
        <v>3</v>
      </c>
      <c r="R70" s="348">
        <v>3</v>
      </c>
      <c r="S70" s="585">
        <v>12</v>
      </c>
      <c r="T70" s="1159">
        <v>31</v>
      </c>
      <c r="U70" s="1159">
        <v>0</v>
      </c>
      <c r="V70" s="1159">
        <v>0</v>
      </c>
      <c r="W70" s="1159">
        <v>0</v>
      </c>
      <c r="X70" s="1159">
        <v>0</v>
      </c>
      <c r="Y70" s="1159">
        <v>0</v>
      </c>
      <c r="Z70" s="1159">
        <v>0</v>
      </c>
      <c r="AA70" s="1159">
        <v>0</v>
      </c>
      <c r="AB70" s="1159">
        <v>5</v>
      </c>
      <c r="AC70" s="1159">
        <v>3</v>
      </c>
      <c r="AD70" s="1159">
        <v>3</v>
      </c>
      <c r="AE70" s="1159">
        <v>24</v>
      </c>
      <c r="AF70" s="1159">
        <v>3</v>
      </c>
      <c r="AG70" s="1159">
        <v>3</v>
      </c>
      <c r="AH70" s="1159">
        <v>3</v>
      </c>
      <c r="AI70" s="1159">
        <v>24</v>
      </c>
      <c r="AJ70" s="1159">
        <v>3</v>
      </c>
      <c r="AK70" s="1159">
        <v>3</v>
      </c>
      <c r="AL70" s="1159">
        <v>3</v>
      </c>
      <c r="AM70" s="1159">
        <v>18</v>
      </c>
      <c r="AN70" s="1159">
        <v>21</v>
      </c>
      <c r="AO70" s="1159">
        <v>21</v>
      </c>
      <c r="AP70" s="1159">
        <v>11</v>
      </c>
      <c r="AQ70" s="1159">
        <v>3</v>
      </c>
      <c r="AR70" s="1159">
        <v>11</v>
      </c>
      <c r="AS70" s="1159">
        <v>8</v>
      </c>
      <c r="AT70" s="1159">
        <v>4</v>
      </c>
      <c r="AU70" s="1159">
        <v>115</v>
      </c>
      <c r="AV70" s="515">
        <v>10</v>
      </c>
      <c r="AW70" s="515">
        <v>10</v>
      </c>
      <c r="AX70" s="515">
        <v>10</v>
      </c>
      <c r="AY70" s="515">
        <v>10</v>
      </c>
      <c r="AZ70" s="515">
        <v>10</v>
      </c>
      <c r="BA70" s="115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CD2681-0A0B-CE61-010E-D37270020ED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29">
        <f>INDEX(PT_DIFFERENTIATION_NUM_NTAR,MATCH(A2,PT_DIFFERENTIATION_NTAR_ID,0))</f>
      </c>
      <c r="T2" s="302" t="s">
        <v>143</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27"/>
      <c r="Q3" s="356"/>
      <c r="R3" s="357"/>
      <c r="S3" s="1429">
        <f>INDEX(PT_DIFFERENTIATION_NUM_TER,MATCH(B3,PT_DIFFERENTIATION_TER_ID,0))</f>
      </c>
      <c r="T3" s="312" t="s">
        <v>415</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416</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29">
        <f>INDEX(PT_DIFFERENTIATION_NUM_CS,MATCH(C4,PT_DIFFERENTIATION_CS_ID,0))</f>
      </c>
      <c r="T4" s="313" t="s">
        <v>499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500</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26"/>
      <c r="R5" s="360"/>
      <c r="S5" s="1429">
        <f>$I5</f>
      </c>
      <c r="T5" s="289" t="s">
        <v>501</v>
      </c>
      <c r="U5" s="304"/>
      <c r="V5" s="2354"/>
      <c r="W5" s="2355"/>
      <c r="X5" s="2355"/>
      <c r="Y5" s="2355"/>
      <c r="Z5" s="2355"/>
      <c r="AA5" s="2355"/>
      <c r="AB5" s="2356"/>
      <c r="AC5" s="2357"/>
      <c r="AD5" s="2358"/>
      <c r="AE5" s="2358"/>
      <c r="AF5" s="2358"/>
      <c r="AG5" s="2358"/>
      <c r="AH5" s="2358"/>
      <c r="AI5" s="2358"/>
      <c r="AJ5" s="2359"/>
      <c r="AK5" s="1262" t="s">
        <v>502</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424</v>
      </c>
      <c r="P6" s="2261"/>
      <c r="Q6" s="2261">
        <v>1</v>
      </c>
      <c r="R6" s="361"/>
      <c r="S6" s="1429">
        <f>$J6</f>
      </c>
      <c r="T6" s="290" t="s">
        <v>425</v>
      </c>
      <c r="U6" s="304"/>
      <c r="V6" s="2249"/>
      <c r="W6" s="2250"/>
      <c r="X6" s="2250"/>
      <c r="Y6" s="2250"/>
      <c r="Z6" s="2250"/>
      <c r="AA6" s="2250"/>
      <c r="AB6" s="2251"/>
      <c r="AC6" s="2249"/>
      <c r="AD6" s="2250"/>
      <c r="AE6" s="2250"/>
      <c r="AF6" s="2250"/>
      <c r="AG6" s="2250"/>
      <c r="AH6" s="2250"/>
      <c r="AI6" s="2250"/>
      <c r="AJ6" s="2251"/>
      <c r="AK6" s="1311" t="s">
        <v>503</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29">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28"/>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504</v>
      </c>
      <c r="U9" s="371"/>
      <c r="V9" s="371"/>
      <c r="W9" s="371"/>
      <c r="X9" s="371"/>
      <c r="Y9" s="371"/>
      <c r="Z9" s="371"/>
      <c r="AA9" s="371"/>
      <c r="AB9" s="371"/>
      <c r="AC9" s="371"/>
      <c r="AD9" s="371"/>
      <c r="AE9" s="371"/>
      <c r="AF9" s="371"/>
      <c r="AG9" s="371"/>
      <c r="AH9" s="371"/>
      <c r="AI9" s="371"/>
      <c r="AJ9" s="371"/>
      <c r="AK9" s="1262" t="s">
        <v>505</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26"/>
      <c r="R10" s="360"/>
      <c r="S10" s="1282"/>
      <c r="T10" s="369" t="s">
        <v>430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14.25" hidden="1">
      <c r="A11" s="1367"/>
      <c r="B11" s="1367"/>
      <c r="C11" s="1367"/>
      <c r="D11" s="1367"/>
      <c r="E11" s="2263"/>
      <c r="F11" s="2263"/>
      <c r="G11" s="2263"/>
      <c r="H11" s="2262"/>
      <c r="I11" s="1367"/>
      <c r="J11" s="1367"/>
      <c r="K11" s="1367"/>
      <c r="L11" s="1368"/>
      <c r="M11" s="1369"/>
      <c r="N11" s="1369"/>
      <c r="O11" s="541"/>
      <c r="P11" s="364"/>
      <c r="Q11" s="379"/>
      <c r="R11" s="359"/>
      <c r="S11" s="1282"/>
      <c r="T11" s="376" t="s">
        <v>506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30"/>
      <c r="M12" s="1325"/>
      <c r="N12" s="1325"/>
      <c r="P12" s="1320"/>
      <c r="Q12" s="1321"/>
      <c r="R12" s="1320"/>
      <c r="S12" s="1326"/>
      <c r="T12" s="1329" t="s">
        <v>433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434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25"/>
      <c r="M18" s="1366"/>
      <c r="N18" s="1366"/>
      <c r="O18" s="1371" t="s">
        <v>435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25"/>
      <c r="M19" s="1366"/>
      <c r="N19" s="1366"/>
      <c r="O19" s="1366"/>
      <c r="P19" s="1366"/>
      <c r="Q19" s="1375"/>
      <c r="R19" s="1375"/>
      <c r="S19" s="733"/>
      <c r="AB19" s="1370"/>
      <c r="AI19" s="1370"/>
      <c r="AL19" s="515"/>
      <c r="AM19" s="515"/>
      <c r="AN19" s="515"/>
      <c r="AO19" s="515"/>
      <c r="AP19" s="515"/>
      <c r="AQ19" s="1164">
        <v>0</v>
      </c>
    </row>
    <row s="1370" customFormat="1" customHeight="1" ht="12" hidden="1">
      <c r="L20" s="1425"/>
      <c r="M20" s="1366"/>
      <c r="N20" s="1366"/>
      <c r="O20" s="1368" t="s">
        <v>436</v>
      </c>
      <c r="P20" s="1366"/>
      <c r="Q20" s="1446"/>
      <c r="R20" s="1446"/>
      <c r="S20" s="733"/>
      <c r="T20" s="1164" t="s">
        <v>437</v>
      </c>
      <c r="Z20" s="190" t="s">
        <v>438</v>
      </c>
      <c r="AB20" s="190" t="s">
        <v>439</v>
      </c>
      <c r="AC20" s="1164" t="s">
        <v>437</v>
      </c>
      <c r="AG20" s="190" t="s">
        <v>440</v>
      </c>
      <c r="AI20" s="190" t="s">
        <v>439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"Теплоэнерго"</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41</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441</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442</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42</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443</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444</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359"/>
      <c r="V34" s="330"/>
      <c r="W34" s="330"/>
      <c r="X34" s="330"/>
      <c r="Y34" s="330"/>
      <c r="Z34" s="330"/>
      <c r="AA34" s="330"/>
      <c r="AB34" s="282" t="s">
        <v>445</v>
      </c>
      <c r="AC34" s="330"/>
      <c r="AD34" s="330"/>
      <c r="AE34" s="330"/>
      <c r="AF34" s="330"/>
      <c r="AG34" s="330"/>
      <c r="AH34" s="330"/>
      <c r="AI34" s="282" t="s">
        <v>445</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318</v>
      </c>
      <c r="T36" s="2131"/>
      <c r="U36" s="2131"/>
      <c r="V36" s="2131"/>
      <c r="W36" s="2131"/>
      <c r="X36" s="2131"/>
      <c r="Y36" s="2131"/>
      <c r="Z36" s="2131"/>
      <c r="AA36" s="2131"/>
      <c r="AB36" s="2131"/>
      <c r="AC36" s="2131"/>
      <c r="AD36" s="2131"/>
      <c r="AE36" s="2131"/>
      <c r="AF36" s="2131"/>
      <c r="AG36" s="2131"/>
      <c r="AH36" s="2131"/>
      <c r="AI36" s="2131"/>
      <c r="AJ36" s="2131"/>
      <c r="AK36" s="2131" t="s">
        <v>319</v>
      </c>
      <c r="AQ36" s="1159">
        <v>14</v>
      </c>
    </row>
    <row customHeight="1" ht="14.699999999999998">
      <c r="Q37" s="380"/>
      <c r="R37" s="380"/>
      <c r="S37" s="2277" t="s">
        <v>88</v>
      </c>
      <c r="T37" s="2213" t="s">
        <v>446</v>
      </c>
      <c r="U37" s="305"/>
      <c r="V37" s="2278" t="s">
        <v>447</v>
      </c>
      <c r="W37" s="2279"/>
      <c r="X37" s="2279"/>
      <c r="Y37" s="2279"/>
      <c r="Z37" s="2279"/>
      <c r="AA37" s="2280"/>
      <c r="AB37" s="2281" t="s">
        <v>448</v>
      </c>
      <c r="AC37" s="2278" t="s">
        <v>447</v>
      </c>
      <c r="AD37" s="2279"/>
      <c r="AE37" s="2279"/>
      <c r="AF37" s="2279"/>
      <c r="AG37" s="2279"/>
      <c r="AH37" s="2280"/>
      <c r="AI37" s="2281" t="s">
        <v>449</v>
      </c>
      <c r="AJ37" s="2284" t="s">
        <v>450</v>
      </c>
      <c r="AK37" s="2131"/>
      <c r="AQ37" s="1159">
        <v>14</v>
      </c>
    </row>
    <row customHeight="1" ht="35.699999999999996">
      <c r="Q38" s="380"/>
      <c r="R38" s="380"/>
      <c r="S38" s="2277"/>
      <c r="T38" s="2213"/>
      <c r="U38" s="1035"/>
      <c r="V38" s="1356" t="s">
        <v>507</v>
      </c>
      <c r="W38" s="2266" t="s">
        <v>453</v>
      </c>
      <c r="X38" s="2267"/>
      <c r="Y38" s="2266" t="s">
        <v>454</v>
      </c>
      <c r="Z38" s="2273"/>
      <c r="AA38" s="2267"/>
      <c r="AB38" s="2282"/>
      <c r="AC38" s="1356" t="s">
        <v>507</v>
      </c>
      <c r="AD38" s="2266" t="s">
        <v>453</v>
      </c>
      <c r="AE38" s="2267"/>
      <c r="AF38" s="2266" t="s">
        <v>454</v>
      </c>
      <c r="AG38" s="2273"/>
      <c r="AH38" s="2267"/>
      <c r="AI38" s="2282"/>
      <c r="AJ38" s="2285"/>
      <c r="AK38" s="2131"/>
      <c r="AQ38" s="1159">
        <v>34</v>
      </c>
    </row>
    <row customHeight="1" ht="35.699999999999996">
      <c r="A39" s="1374"/>
      <c r="B39" s="1374" t="s">
        <v>155</v>
      </c>
      <c r="C39" s="1374" t="s">
        <v>156</v>
      </c>
      <c r="D39" s="1374" t="s">
        <v>157</v>
      </c>
      <c r="E39" s="1368" t="s">
        <v>455</v>
      </c>
      <c r="F39" s="1368" t="s">
        <v>456</v>
      </c>
      <c r="G39" s="1368" t="s">
        <v>457</v>
      </c>
      <c r="H39" s="1368"/>
      <c r="I39" s="1368" t="s">
        <v>508</v>
      </c>
      <c r="J39" s="1368" t="s">
        <v>460</v>
      </c>
      <c r="K39" s="1368" t="s">
        <v>509</v>
      </c>
      <c r="L39" s="1368" t="s">
        <v>436</v>
      </c>
      <c r="Q39" s="380"/>
      <c r="R39" s="380"/>
      <c r="S39" s="2277"/>
      <c r="T39" s="2213"/>
      <c r="U39" s="306"/>
      <c r="V39" s="1356" t="s">
        <v>510</v>
      </c>
      <c r="W39" s="1226" t="s">
        <v>511</v>
      </c>
      <c r="X39" s="1226" t="s">
        <v>512</v>
      </c>
      <c r="Y39" s="1361" t="s">
        <v>464</v>
      </c>
      <c r="Z39" s="2274" t="s">
        <v>465</v>
      </c>
      <c r="AA39" s="2275"/>
      <c r="AB39" s="2283"/>
      <c r="AC39" s="1356" t="s">
        <v>510</v>
      </c>
      <c r="AD39" s="1226" t="s">
        <v>511</v>
      </c>
      <c r="AE39" s="1226" t="s">
        <v>512</v>
      </c>
      <c r="AF39" s="1361" t="s">
        <v>464</v>
      </c>
      <c r="AG39" s="2274" t="s">
        <v>465</v>
      </c>
      <c r="AH39" s="2275"/>
      <c r="AI39" s="2283"/>
      <c r="AJ39" s="2286"/>
      <c r="AK39" s="2131"/>
      <c r="AQ39" s="1159">
        <v>34</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119</v>
      </c>
      <c r="T40" s="1259" t="s">
        <v>103</v>
      </c>
      <c r="U40" s="1249" t="str">
        <f>OFFSET(U40,0,-1)</f>
        <v>2</v>
      </c>
      <c r="V40" s="1357">
        <f>OFFSET(V40,0,-1)+1</f>
        <v>3</v>
      </c>
      <c r="W40" s="1357">
        <f>OFFSET(W40,0,-1)+1</f>
        <v>4</v>
      </c>
      <c r="X40" s="1357">
        <f>OFFSET(X40,0,-1)+1</f>
        <v>5</v>
      </c>
      <c r="Y40" s="1357">
        <f>OFFSET(Y40,0,-1)+1</f>
        <v>6</v>
      </c>
      <c r="Z40" s="2276">
        <f>OFFSET(Z40,0,-1)+1</f>
        <v>7</v>
      </c>
      <c r="AA40" s="2276"/>
      <c r="AB40" s="1357">
        <f>OFFSET(AB40,0,-2)+1</f>
        <v>8</v>
      </c>
      <c r="AC40" s="1357">
        <f>OFFSET(AC40,0,-1)+1</f>
        <v>9</v>
      </c>
      <c r="AD40" s="1357">
        <f>OFFSET(AD40,0,-1)+1</f>
        <v>10</v>
      </c>
      <c r="AE40" s="1357">
        <f>OFFSET(AE40,0,-1)+1</f>
        <v>11</v>
      </c>
      <c r="AF40" s="1357">
        <f>OFFSET(AF40,0,-1)+1</f>
        <v>12</v>
      </c>
      <c r="AG40" s="2276">
        <f>OFFSET(AG40,0,-1)+1</f>
        <v>13</v>
      </c>
      <c r="AH40" s="2276"/>
      <c r="AI40" s="1357">
        <f>OFFSET(AI40,0,-2)+1</f>
        <v>14</v>
      </c>
      <c r="AJ40" s="1249">
        <f>OFFSET(AJ40,0,-1)</f>
        <v>14</v>
      </c>
      <c r="AK40" s="1357">
        <f>OFFSET(AK40,0,-1)+1</f>
        <v>15</v>
      </c>
      <c r="AL40" s="515"/>
      <c r="AM40" s="515"/>
      <c r="AN40" s="515"/>
      <c r="AO40" s="515"/>
      <c r="AP40" s="515"/>
      <c r="AQ40" s="500">
        <v>0</v>
      </c>
    </row>
    <row customHeight="1" ht="24">
      <c r="A41" s="1367" t="s">
        <v>244</v>
      </c>
      <c r="B41" s="1367"/>
      <c r="C41" s="1367"/>
      <c r="D41" s="1367"/>
      <c r="E41" s="2262">
        <v>1</v>
      </c>
      <c r="F41" s="1367"/>
      <c r="G41" s="1367"/>
      <c r="H41" s="1367"/>
      <c r="I41" s="1367"/>
      <c r="J41" s="1367"/>
      <c r="K41" s="1367"/>
      <c r="L41" s="1368"/>
      <c r="M41" s="1369"/>
      <c r="N41" s="1369"/>
      <c r="O41" s="1369"/>
      <c r="P41" s="365"/>
      <c r="Q41" s="364"/>
      <c r="R41" s="359"/>
      <c r="S41" s="1362">
        <f>INDEX(PT_DIFFERENTIATION_NUM_NTAR,MATCH(A41,PT_DIFFERENTIATION_NTAR_ID,0))</f>
        <v>0</v>
      </c>
      <c r="T41" s="302" t="s">
        <v>143</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244</v>
      </c>
      <c r="B42" s="1367" t="s">
        <v>245</v>
      </c>
      <c r="C42" s="1367"/>
      <c r="D42" s="1367"/>
      <c r="E42" s="2263"/>
      <c r="F42" s="2262">
        <v>1</v>
      </c>
      <c r="G42" s="1367"/>
      <c r="H42" s="1367"/>
      <c r="I42" s="1367"/>
      <c r="J42" s="1367"/>
      <c r="K42" s="1367"/>
      <c r="L42" s="1368"/>
      <c r="M42" s="1369"/>
      <c r="N42" s="1369"/>
      <c r="O42" s="1369"/>
      <c r="P42" s="1360"/>
      <c r="Q42" s="356"/>
      <c r="R42" s="357"/>
      <c r="S42" s="1362" t="str">
        <f>INDEX(PT_DIFFERENTIATION_NUM_TER,MATCH(B42,PT_DIFFERENTIATION_TER_ID,0))</f>
        <v>.</v>
      </c>
      <c r="T42" s="312" t="s">
        <v>415</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416</v>
      </c>
      <c r="AM42" s="504"/>
      <c r="AN42" s="504" t="str">
        <f>IF(T42="","",T42)</f>
        <v>Территория действия тарифа</v>
      </c>
      <c r="AO42" s="504"/>
      <c r="AP42" s="504"/>
      <c r="AQ42" s="1159">
        <v>23</v>
      </c>
    </row>
    <row customHeight="1" ht="24">
      <c r="A43" s="1367" t="s">
        <v>244</v>
      </c>
      <c r="B43" s="1367" t="s">
        <v>245</v>
      </c>
      <c r="C43" s="1367" t="s">
        <v>246</v>
      </c>
      <c r="D43" s="1367"/>
      <c r="E43" s="2263"/>
      <c r="F43" s="2263"/>
      <c r="G43" s="2262">
        <v>1</v>
      </c>
      <c r="H43" s="1367"/>
      <c r="I43" s="1367"/>
      <c r="J43" s="1367"/>
      <c r="K43" s="1367"/>
      <c r="L43" s="1368"/>
      <c r="M43" s="1369"/>
      <c r="N43" s="1369"/>
      <c r="O43" s="1369"/>
      <c r="P43" s="358"/>
      <c r="Q43" s="356"/>
      <c r="R43" s="357"/>
      <c r="S43" s="1362" t="str">
        <f>INDEX(PT_DIFFERENTIATION_NUM_CS,MATCH(C43,PT_DIFFERENTIATION_CS_ID,0))</f>
        <v>..</v>
      </c>
      <c r="T43" s="313" t="s">
        <v>499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500</v>
      </c>
      <c r="AM43" s="504"/>
      <c r="AN43" s="504" t="str">
        <f>IF(T43="","",T43)</f>
        <v>Наименование централизованной системы холодного водоснабжения</v>
      </c>
      <c r="AO43" s="504"/>
      <c r="AP43" s="504"/>
      <c r="AQ43" s="1159">
        <v>23</v>
      </c>
    </row>
    <row customHeight="1" ht="24">
      <c r="A44" s="1367" t="s">
        <v>244</v>
      </c>
      <c r="B44" s="1367" t="s">
        <v>245</v>
      </c>
      <c r="C44" s="1367" t="s">
        <v>246</v>
      </c>
      <c r="D44" s="1367" t="s">
        <v>513</v>
      </c>
      <c r="E44" s="2263"/>
      <c r="F44" s="2263"/>
      <c r="G44" s="2263"/>
      <c r="H44" s="2263"/>
      <c r="I44" s="2260" t="str">
        <f>S43&amp;".1"</f>
        <v>...1</v>
      </c>
      <c r="J44" s="1367"/>
      <c r="K44" s="1367"/>
      <c r="L44" s="1368"/>
      <c r="P44" s="2261">
        <v>1</v>
      </c>
      <c r="Q44" s="1358"/>
      <c r="R44" s="360"/>
      <c r="S44" s="1362" t="str">
        <f>$I44</f>
        <v>...1</v>
      </c>
      <c r="T44" s="289" t="s">
        <v>501</v>
      </c>
      <c r="U44" s="304"/>
      <c r="V44" s="2354"/>
      <c r="W44" s="2355"/>
      <c r="X44" s="2355"/>
      <c r="Y44" s="2355"/>
      <c r="Z44" s="2355"/>
      <c r="AA44" s="2355"/>
      <c r="AB44" s="2356"/>
      <c r="AC44" s="2357"/>
      <c r="AD44" s="2358"/>
      <c r="AE44" s="2358"/>
      <c r="AF44" s="2358"/>
      <c r="AG44" s="2358"/>
      <c r="AH44" s="2358"/>
      <c r="AI44" s="2358"/>
      <c r="AJ44" s="2359"/>
      <c r="AK44" s="1262" t="s">
        <v>502</v>
      </c>
      <c r="AM44" s="504"/>
      <c r="AN44" s="504" t="str">
        <f>IF(T44="","",T44)</f>
        <v>Наименование признака дифференциации</v>
      </c>
      <c r="AO44" s="504"/>
      <c r="AP44" s="504"/>
      <c r="AQ44" s="1159">
        <v>23</v>
      </c>
    </row>
    <row customHeight="1" ht="24">
      <c r="A45" s="1367" t="s">
        <v>244</v>
      </c>
      <c r="B45" s="1367" t="s">
        <v>245</v>
      </c>
      <c r="C45" s="1367" t="s">
        <v>246</v>
      </c>
      <c r="D45" s="1367" t="s">
        <v>513</v>
      </c>
      <c r="E45" s="2263"/>
      <c r="F45" s="2263"/>
      <c r="G45" s="2263"/>
      <c r="H45" s="2263"/>
      <c r="I45" s="2290"/>
      <c r="J45" s="2260" t="str">
        <f>I44&amp;".1"</f>
        <v>...1.1</v>
      </c>
      <c r="K45" s="1367"/>
      <c r="L45" s="1368" t="s">
        <v>424</v>
      </c>
      <c r="P45" s="2261"/>
      <c r="Q45" s="2261">
        <v>1</v>
      </c>
      <c r="R45" s="361"/>
      <c r="S45" s="1362" t="str">
        <f>$J45</f>
        <v>...1.1</v>
      </c>
      <c r="T45" s="290" t="s">
        <v>425</v>
      </c>
      <c r="U45" s="304"/>
      <c r="V45" s="2249"/>
      <c r="W45" s="2250"/>
      <c r="X45" s="2250"/>
      <c r="Y45" s="2250"/>
      <c r="Z45" s="2250"/>
      <c r="AA45" s="2250"/>
      <c r="AB45" s="2251"/>
      <c r="AC45" s="2249"/>
      <c r="AD45" s="2250"/>
      <c r="AE45" s="2250"/>
      <c r="AF45" s="2250"/>
      <c r="AG45" s="2250"/>
      <c r="AH45" s="2250"/>
      <c r="AI45" s="2250"/>
      <c r="AJ45" s="2251"/>
      <c r="AK45" s="1311" t="s">
        <v>503</v>
      </c>
      <c r="AM45" s="504"/>
      <c r="AN45" s="504" t="str">
        <f>IF(T45="","",T45)</f>
        <v>Группа потребителей</v>
      </c>
      <c r="AO45" s="504"/>
      <c r="AP45" s="504"/>
      <c r="AQ45" s="1159">
        <v>23</v>
      </c>
    </row>
    <row customHeight="1" ht="24">
      <c r="A46" s="1367" t="s">
        <v>244</v>
      </c>
      <c r="B46" s="1367" t="s">
        <v>245</v>
      </c>
      <c r="C46" s="1367" t="s">
        <v>246</v>
      </c>
      <c r="D46" s="1367" t="s">
        <v>513</v>
      </c>
      <c r="E46" s="2263"/>
      <c r="F46" s="2263"/>
      <c r="G46" s="2263"/>
      <c r="H46" s="2263"/>
      <c r="I46" s="2290"/>
      <c r="J46" s="2290"/>
      <c r="K46" s="2260" t="str">
        <f>J45&amp;".1"</f>
        <v>...1.1.1</v>
      </c>
      <c r="L46" s="1368"/>
      <c r="P46" s="2261"/>
      <c r="Q46" s="2261"/>
      <c r="R46" s="361">
        <v>1</v>
      </c>
      <c r="S46" s="1362" t="str">
        <f>$K46</f>
        <v>...1.1.1</v>
      </c>
      <c r="T46" s="1441"/>
      <c r="U46" s="304"/>
      <c r="V46" s="1364"/>
      <c r="W46" s="1364"/>
      <c r="X46" s="1365"/>
      <c r="Y46" s="2271"/>
      <c r="Z46" s="2272" t="s">
        <v>62</v>
      </c>
      <c r="AA46" s="2271"/>
      <c r="AB46" s="2272" t="s">
        <v>62</v>
      </c>
      <c r="AC46" s="755"/>
      <c r="AD46" s="755"/>
      <c r="AE46" s="1261"/>
      <c r="AF46" s="2269"/>
      <c r="AG46" s="2111" t="s">
        <v>62</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244</v>
      </c>
      <c r="B47" s="1367" t="s">
        <v>245</v>
      </c>
      <c r="C47" s="1367" t="s">
        <v>246</v>
      </c>
      <c r="D47" s="1367" t="s">
        <v>513</v>
      </c>
      <c r="E47" s="2263"/>
      <c r="F47" s="2263"/>
      <c r="G47" s="2263"/>
      <c r="H47" s="2263"/>
      <c r="I47" s="2290"/>
      <c r="J47" s="2290"/>
      <c r="K47" s="2260"/>
      <c r="L47" s="1368"/>
      <c r="P47" s="2261"/>
      <c r="Q47" s="2261"/>
      <c r="R47" s="361"/>
      <c r="S47" s="1363"/>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244</v>
      </c>
      <c r="B48" s="1367" t="s">
        <v>245</v>
      </c>
      <c r="C48" s="1367" t="s">
        <v>246</v>
      </c>
      <c r="D48" s="1367" t="s">
        <v>513</v>
      </c>
      <c r="E48" s="2263"/>
      <c r="F48" s="2263"/>
      <c r="G48" s="2263"/>
      <c r="H48" s="2263"/>
      <c r="I48" s="2290"/>
      <c r="J48" s="2260"/>
      <c r="K48" s="1367"/>
      <c r="L48" s="1368"/>
      <c r="P48" s="2261"/>
      <c r="Q48" s="2261"/>
      <c r="R48" s="360"/>
      <c r="S48" s="1282"/>
      <c r="T48" s="291" t="s">
        <v>504</v>
      </c>
      <c r="U48" s="371"/>
      <c r="V48" s="371"/>
      <c r="W48" s="371"/>
      <c r="X48" s="371"/>
      <c r="Y48" s="371"/>
      <c r="Z48" s="371"/>
      <c r="AA48" s="371"/>
      <c r="AB48" s="371"/>
      <c r="AC48" s="371"/>
      <c r="AD48" s="371"/>
      <c r="AE48" s="371"/>
      <c r="AF48" s="371"/>
      <c r="AG48" s="371"/>
      <c r="AH48" s="371"/>
      <c r="AI48" s="371"/>
      <c r="AJ48" s="371"/>
      <c r="AK48" s="1262" t="s">
        <v>505</v>
      </c>
      <c r="AM48" s="504"/>
      <c r="AN48" s="504" t="str">
        <f>IF(T48="","",T48)</f>
        <v>Добавить значение признака дифференциации</v>
      </c>
      <c r="AO48" s="504"/>
      <c r="AP48" s="504"/>
      <c r="AQ48" s="1159">
        <v>20</v>
      </c>
    </row>
    <row customHeight="1" ht="22.049999999999997">
      <c r="A49" s="1367" t="s">
        <v>244</v>
      </c>
      <c r="B49" s="1367" t="s">
        <v>245</v>
      </c>
      <c r="C49" s="1367" t="s">
        <v>246</v>
      </c>
      <c r="D49" s="1367" t="s">
        <v>513</v>
      </c>
      <c r="E49" s="2263"/>
      <c r="F49" s="2263"/>
      <c r="G49" s="2263"/>
      <c r="H49" s="2263"/>
      <c r="I49" s="2260"/>
      <c r="J49" s="1367"/>
      <c r="K49" s="1367"/>
      <c r="L49" s="1368"/>
      <c r="P49" s="2261"/>
      <c r="Q49" s="1358"/>
      <c r="R49" s="360"/>
      <c r="S49" s="1282"/>
      <c r="T49" s="369" t="s">
        <v>430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244</v>
      </c>
      <c r="B50" s="1367" t="s">
        <v>245</v>
      </c>
      <c r="C50" s="1367" t="s">
        <v>246</v>
      </c>
      <c r="D50" s="1367" t="s">
        <v>513</v>
      </c>
      <c r="E50" s="2263"/>
      <c r="F50" s="2263"/>
      <c r="G50" s="2263"/>
      <c r="H50" s="2262"/>
      <c r="I50" s="1367"/>
      <c r="J50" s="1367"/>
      <c r="K50" s="1367"/>
      <c r="L50" s="1368"/>
      <c r="M50" s="1369"/>
      <c r="N50" s="1369"/>
      <c r="O50" s="541"/>
      <c r="P50" s="364"/>
      <c r="Q50" s="379"/>
      <c r="R50" s="359"/>
      <c r="S50" s="1282"/>
      <c r="T50" s="376" t="s">
        <v>506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244</v>
      </c>
      <c r="B51" s="1347" t="s">
        <v>245</v>
      </c>
      <c r="C51" s="1318"/>
      <c r="D51" s="1318"/>
      <c r="E51" s="2263"/>
      <c r="F51" s="2262"/>
      <c r="G51" s="1318"/>
      <c r="H51" s="1318"/>
      <c r="I51" s="1318"/>
      <c r="J51" s="1318"/>
      <c r="K51" s="1318"/>
      <c r="L51" s="1430"/>
      <c r="M51" s="1325"/>
      <c r="N51" s="1325"/>
      <c r="P51" s="1320"/>
      <c r="Q51" s="1321"/>
      <c r="R51" s="1320"/>
      <c r="S51" s="1326"/>
      <c r="T51" s="1329" t="s">
        <v>433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244</v>
      </c>
      <c r="B52" s="1347"/>
      <c r="C52" s="1347"/>
      <c r="D52" s="1347"/>
      <c r="E52" s="2262"/>
      <c r="F52" s="1347"/>
      <c r="G52" s="1347"/>
      <c r="H52" s="1347"/>
      <c r="I52" s="1347"/>
      <c r="J52" s="1347"/>
      <c r="K52" s="1347"/>
      <c r="L52" s="1350"/>
      <c r="M52" s="1325"/>
      <c r="N52" s="1325"/>
      <c r="O52" s="522"/>
      <c r="P52" s="384"/>
      <c r="Q52" s="1348"/>
      <c r="R52" s="384"/>
      <c r="S52" s="1326"/>
      <c r="T52" s="1329" t="s">
        <v>434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30"/>
      <c r="M53" s="1325"/>
      <c r="N53" s="1325"/>
      <c r="P53" s="1320"/>
      <c r="Q53" s="1321"/>
      <c r="R53" s="1320"/>
      <c r="S53" s="1326"/>
      <c r="T53" s="1329" t="s">
        <v>466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25">
        <v>0</v>
      </c>
      <c r="M58" s="1366">
        <v>0</v>
      </c>
      <c r="N58" s="1366">
        <v>0</v>
      </c>
      <c r="O58" s="1366">
        <v>0</v>
      </c>
      <c r="P58" s="1355">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45869E-E671-9755-366D-62077D43612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143</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415</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416</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499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500</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501</v>
      </c>
      <c r="U5" s="304"/>
      <c r="V5" s="2354"/>
      <c r="W5" s="2355"/>
      <c r="X5" s="2355"/>
      <c r="Y5" s="2355"/>
      <c r="Z5" s="2355"/>
      <c r="AA5" s="2355"/>
      <c r="AB5" s="2356"/>
      <c r="AC5" s="2357"/>
      <c r="AD5" s="2358"/>
      <c r="AE5" s="2358"/>
      <c r="AF5" s="2358"/>
      <c r="AG5" s="2358"/>
      <c r="AH5" s="2358"/>
      <c r="AI5" s="2358"/>
      <c r="AJ5" s="2359"/>
      <c r="AK5" s="1262" t="s">
        <v>502</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424</v>
      </c>
      <c r="P6" s="2261"/>
      <c r="Q6" s="2261">
        <v>1</v>
      </c>
      <c r="R6" s="361"/>
      <c r="S6" s="1461">
        <f>$J6</f>
      </c>
      <c r="T6" s="290" t="s">
        <v>425</v>
      </c>
      <c r="U6" s="304"/>
      <c r="V6" s="2249"/>
      <c r="W6" s="2250"/>
      <c r="X6" s="2250"/>
      <c r="Y6" s="2250"/>
      <c r="Z6" s="2250"/>
      <c r="AA6" s="2250"/>
      <c r="AB6" s="2251"/>
      <c r="AC6" s="2249"/>
      <c r="AD6" s="2250"/>
      <c r="AE6" s="2250"/>
      <c r="AF6" s="2250"/>
      <c r="AG6" s="2250"/>
      <c r="AH6" s="2250"/>
      <c r="AI6" s="2250"/>
      <c r="AJ6" s="2251"/>
      <c r="AK6" s="1311" t="s">
        <v>503</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504</v>
      </c>
      <c r="U9" s="371"/>
      <c r="V9" s="371"/>
      <c r="W9" s="371"/>
      <c r="X9" s="371"/>
      <c r="Y9" s="371"/>
      <c r="Z9" s="371"/>
      <c r="AA9" s="371"/>
      <c r="AB9" s="371"/>
      <c r="AC9" s="371"/>
      <c r="AD9" s="371"/>
      <c r="AE9" s="371"/>
      <c r="AF9" s="371"/>
      <c r="AG9" s="371"/>
      <c r="AH9" s="371"/>
      <c r="AI9" s="371"/>
      <c r="AJ9" s="371"/>
      <c r="AK9" s="1262" t="s">
        <v>505</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430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433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434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435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436</v>
      </c>
      <c r="P20" s="1366"/>
      <c r="Q20" s="1446"/>
      <c r="R20" s="1446"/>
      <c r="S20" s="733"/>
      <c r="T20" s="1164" t="s">
        <v>437</v>
      </c>
      <c r="Z20" s="190" t="s">
        <v>438</v>
      </c>
      <c r="AB20" s="190" t="s">
        <v>439</v>
      </c>
      <c r="AC20" s="1164" t="s">
        <v>437</v>
      </c>
      <c r="AG20" s="190" t="s">
        <v>440</v>
      </c>
      <c r="AI20" s="190" t="s">
        <v>439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"Теплоэнерго"</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41</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441</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442</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42</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443</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444</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445</v>
      </c>
      <c r="AC34" s="330"/>
      <c r="AD34" s="330"/>
      <c r="AE34" s="330"/>
      <c r="AF34" s="330"/>
      <c r="AG34" s="330"/>
      <c r="AH34" s="330"/>
      <c r="AI34" s="282" t="s">
        <v>445</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318</v>
      </c>
      <c r="T36" s="2131"/>
      <c r="U36" s="2131"/>
      <c r="V36" s="2131"/>
      <c r="W36" s="2131"/>
      <c r="X36" s="2131"/>
      <c r="Y36" s="2131"/>
      <c r="Z36" s="2131"/>
      <c r="AA36" s="2131"/>
      <c r="AB36" s="2131"/>
      <c r="AC36" s="2131"/>
      <c r="AD36" s="2131"/>
      <c r="AE36" s="2131"/>
      <c r="AF36" s="2131"/>
      <c r="AG36" s="2131"/>
      <c r="AH36" s="2131"/>
      <c r="AI36" s="2131"/>
      <c r="AJ36" s="2131"/>
      <c r="AK36" s="2131" t="s">
        <v>319</v>
      </c>
      <c r="AQ36" s="1159">
        <v>14</v>
      </c>
    </row>
    <row customHeight="1" ht="14.699999999999998">
      <c r="Q37" s="380"/>
      <c r="R37" s="380"/>
      <c r="S37" s="2277" t="s">
        <v>88</v>
      </c>
      <c r="T37" s="2213" t="s">
        <v>446</v>
      </c>
      <c r="U37" s="305"/>
      <c r="V37" s="2278" t="s">
        <v>447</v>
      </c>
      <c r="W37" s="2279"/>
      <c r="X37" s="2279"/>
      <c r="Y37" s="2279"/>
      <c r="Z37" s="2279"/>
      <c r="AA37" s="2280"/>
      <c r="AB37" s="2281" t="s">
        <v>448</v>
      </c>
      <c r="AC37" s="2278" t="s">
        <v>447</v>
      </c>
      <c r="AD37" s="2279"/>
      <c r="AE37" s="2279"/>
      <c r="AF37" s="2279"/>
      <c r="AG37" s="2279"/>
      <c r="AH37" s="2280"/>
      <c r="AI37" s="2281" t="s">
        <v>449</v>
      </c>
      <c r="AJ37" s="2284" t="s">
        <v>450</v>
      </c>
      <c r="AK37" s="2131"/>
      <c r="AQ37" s="1159">
        <v>14</v>
      </c>
    </row>
    <row customHeight="1" ht="35.699999999999996">
      <c r="Q38" s="380"/>
      <c r="R38" s="380"/>
      <c r="S38" s="2277"/>
      <c r="T38" s="2213"/>
      <c r="U38" s="1035"/>
      <c r="V38" s="1456" t="s">
        <v>507</v>
      </c>
      <c r="W38" s="2266" t="s">
        <v>453</v>
      </c>
      <c r="X38" s="2267"/>
      <c r="Y38" s="2266" t="s">
        <v>454</v>
      </c>
      <c r="Z38" s="2273"/>
      <c r="AA38" s="2267"/>
      <c r="AB38" s="2282"/>
      <c r="AC38" s="1456" t="s">
        <v>507</v>
      </c>
      <c r="AD38" s="2266" t="s">
        <v>453</v>
      </c>
      <c r="AE38" s="2267"/>
      <c r="AF38" s="2266" t="s">
        <v>454</v>
      </c>
      <c r="AG38" s="2273"/>
      <c r="AH38" s="2267"/>
      <c r="AI38" s="2282"/>
      <c r="AJ38" s="2285"/>
      <c r="AK38" s="2131"/>
      <c r="AQ38" s="1159">
        <v>34</v>
      </c>
    </row>
    <row customHeight="1" ht="35.699999999999996">
      <c r="A39" s="1374"/>
      <c r="B39" s="1374" t="s">
        <v>155</v>
      </c>
      <c r="C39" s="1374" t="s">
        <v>156</v>
      </c>
      <c r="D39" s="1374" t="s">
        <v>157</v>
      </c>
      <c r="E39" s="1368" t="s">
        <v>455</v>
      </c>
      <c r="F39" s="1368" t="s">
        <v>456</v>
      </c>
      <c r="G39" s="1368" t="s">
        <v>457</v>
      </c>
      <c r="H39" s="1368"/>
      <c r="I39" s="1368" t="s">
        <v>508</v>
      </c>
      <c r="J39" s="1368" t="s">
        <v>460</v>
      </c>
      <c r="K39" s="1368" t="s">
        <v>509</v>
      </c>
      <c r="L39" s="1368" t="s">
        <v>436</v>
      </c>
      <c r="Q39" s="380"/>
      <c r="R39" s="380"/>
      <c r="S39" s="2277"/>
      <c r="T39" s="2213"/>
      <c r="U39" s="306"/>
      <c r="V39" s="1456" t="s">
        <v>510</v>
      </c>
      <c r="W39" s="1226" t="s">
        <v>511</v>
      </c>
      <c r="X39" s="1226" t="s">
        <v>512</v>
      </c>
      <c r="Y39" s="1459" t="s">
        <v>464</v>
      </c>
      <c r="Z39" s="2274" t="s">
        <v>465</v>
      </c>
      <c r="AA39" s="2275"/>
      <c r="AB39" s="2283"/>
      <c r="AC39" s="1456" t="s">
        <v>510</v>
      </c>
      <c r="AD39" s="1226" t="s">
        <v>511</v>
      </c>
      <c r="AE39" s="1226" t="s">
        <v>512</v>
      </c>
      <c r="AF39" s="1459" t="s">
        <v>464</v>
      </c>
      <c r="AG39" s="2274" t="s">
        <v>465</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119</v>
      </c>
      <c r="T40" s="1259" t="s">
        <v>103</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249</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143</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249</v>
      </c>
      <c r="B42" s="1367" t="s">
        <v>250</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415</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416</v>
      </c>
      <c r="AM42" s="504"/>
      <c r="AN42" s="504" t="str">
        <f>IF(T42="","",T42)</f>
        <v>Территория действия тарифа</v>
      </c>
      <c r="AO42" s="504"/>
      <c r="AP42" s="504"/>
      <c r="AQ42" s="1159">
        <v>23</v>
      </c>
    </row>
    <row customHeight="1" ht="24">
      <c r="A43" s="1367" t="s">
        <v>249</v>
      </c>
      <c r="B43" s="1367" t="s">
        <v>250</v>
      </c>
      <c r="C43" s="1367" t="s">
        <v>251</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499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500</v>
      </c>
      <c r="AM43" s="504"/>
      <c r="AN43" s="504" t="str">
        <f>IF(T43="","",T43)</f>
        <v>Наименование централизованной системы холодного водоснабжения</v>
      </c>
      <c r="AO43" s="504"/>
      <c r="AP43" s="504"/>
      <c r="AQ43" s="1159">
        <v>23</v>
      </c>
    </row>
    <row customHeight="1" ht="24">
      <c r="A44" s="1367" t="s">
        <v>249</v>
      </c>
      <c r="B44" s="1367" t="s">
        <v>250</v>
      </c>
      <c r="C44" s="1367" t="s">
        <v>251</v>
      </c>
      <c r="D44" s="1367" t="s">
        <v>514</v>
      </c>
      <c r="E44" s="2263"/>
      <c r="F44" s="2263"/>
      <c r="G44" s="2263"/>
      <c r="H44" s="2263"/>
      <c r="I44" s="2260" t="str">
        <f>S43&amp;".1"</f>
        <v>...1</v>
      </c>
      <c r="J44" s="1367"/>
      <c r="K44" s="1367"/>
      <c r="L44" s="1368"/>
      <c r="P44" s="2261">
        <v>1</v>
      </c>
      <c r="Q44" s="1454"/>
      <c r="R44" s="360"/>
      <c r="S44" s="1461" t="str">
        <f>$I44</f>
        <v>...1</v>
      </c>
      <c r="T44" s="289" t="s">
        <v>501</v>
      </c>
      <c r="U44" s="304"/>
      <c r="V44" s="2354"/>
      <c r="W44" s="2355"/>
      <c r="X44" s="2355"/>
      <c r="Y44" s="2355"/>
      <c r="Z44" s="2355"/>
      <c r="AA44" s="2355"/>
      <c r="AB44" s="2356"/>
      <c r="AC44" s="2357"/>
      <c r="AD44" s="2358"/>
      <c r="AE44" s="2358"/>
      <c r="AF44" s="2358"/>
      <c r="AG44" s="2358"/>
      <c r="AH44" s="2358"/>
      <c r="AI44" s="2358"/>
      <c r="AJ44" s="2359"/>
      <c r="AK44" s="1262" t="s">
        <v>502</v>
      </c>
      <c r="AM44" s="504"/>
      <c r="AN44" s="504" t="str">
        <f>IF(T44="","",T44)</f>
        <v>Наименование признака дифференциации</v>
      </c>
      <c r="AO44" s="504"/>
      <c r="AP44" s="504"/>
      <c r="AQ44" s="1159">
        <v>23</v>
      </c>
    </row>
    <row customHeight="1" ht="24">
      <c r="A45" s="1367" t="s">
        <v>249</v>
      </c>
      <c r="B45" s="1367" t="s">
        <v>250</v>
      </c>
      <c r="C45" s="1367" t="s">
        <v>251</v>
      </c>
      <c r="D45" s="1367" t="s">
        <v>514</v>
      </c>
      <c r="E45" s="2263"/>
      <c r="F45" s="2263"/>
      <c r="G45" s="2263"/>
      <c r="H45" s="2263"/>
      <c r="I45" s="2290"/>
      <c r="J45" s="2260" t="str">
        <f>I44&amp;".1"</f>
        <v>...1.1</v>
      </c>
      <c r="K45" s="1367"/>
      <c r="L45" s="1368" t="s">
        <v>424</v>
      </c>
      <c r="P45" s="2261"/>
      <c r="Q45" s="2261">
        <v>1</v>
      </c>
      <c r="R45" s="361"/>
      <c r="S45" s="1461" t="str">
        <f>$J45</f>
        <v>...1.1</v>
      </c>
      <c r="T45" s="290" t="s">
        <v>425</v>
      </c>
      <c r="U45" s="304"/>
      <c r="V45" s="2249"/>
      <c r="W45" s="2250"/>
      <c r="X45" s="2250"/>
      <c r="Y45" s="2250"/>
      <c r="Z45" s="2250"/>
      <c r="AA45" s="2250"/>
      <c r="AB45" s="2251"/>
      <c r="AC45" s="2249"/>
      <c r="AD45" s="2250"/>
      <c r="AE45" s="2250"/>
      <c r="AF45" s="2250"/>
      <c r="AG45" s="2250"/>
      <c r="AH45" s="2250"/>
      <c r="AI45" s="2250"/>
      <c r="AJ45" s="2251"/>
      <c r="AK45" s="1311" t="s">
        <v>503</v>
      </c>
      <c r="AM45" s="504"/>
      <c r="AN45" s="504" t="str">
        <f>IF(T45="","",T45)</f>
        <v>Группа потребителей</v>
      </c>
      <c r="AO45" s="504"/>
      <c r="AP45" s="504"/>
      <c r="AQ45" s="1159">
        <v>23</v>
      </c>
    </row>
    <row customHeight="1" ht="24">
      <c r="A46" s="1367" t="s">
        <v>249</v>
      </c>
      <c r="B46" s="1367" t="s">
        <v>250</v>
      </c>
      <c r="C46" s="1367" t="s">
        <v>251</v>
      </c>
      <c r="D46" s="1367" t="s">
        <v>514</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62</v>
      </c>
      <c r="AA46" s="2269"/>
      <c r="AB46" s="2111" t="s">
        <v>62</v>
      </c>
      <c r="AC46" s="755"/>
      <c r="AD46" s="755"/>
      <c r="AE46" s="1261"/>
      <c r="AF46" s="2269"/>
      <c r="AG46" s="2111" t="s">
        <v>62</v>
      </c>
      <c r="AH46" s="2291"/>
      <c r="AI46" s="2111" t="s">
        <v>62</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249</v>
      </c>
      <c r="B47" s="1367" t="s">
        <v>250</v>
      </c>
      <c r="C47" s="1367" t="s">
        <v>251</v>
      </c>
      <c r="D47" s="1367" t="s">
        <v>514</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249</v>
      </c>
      <c r="B48" s="1367" t="s">
        <v>250</v>
      </c>
      <c r="C48" s="1367" t="s">
        <v>251</v>
      </c>
      <c r="D48" s="1367" t="s">
        <v>514</v>
      </c>
      <c r="E48" s="2263"/>
      <c r="F48" s="2263"/>
      <c r="G48" s="2263"/>
      <c r="H48" s="2263"/>
      <c r="I48" s="2290"/>
      <c r="J48" s="2260"/>
      <c r="K48" s="1367"/>
      <c r="L48" s="1368"/>
      <c r="P48" s="2261"/>
      <c r="Q48" s="2261"/>
      <c r="R48" s="360"/>
      <c r="S48" s="1282"/>
      <c r="T48" s="291" t="s">
        <v>504</v>
      </c>
      <c r="U48" s="371"/>
      <c r="V48" s="371"/>
      <c r="W48" s="371"/>
      <c r="X48" s="371"/>
      <c r="Y48" s="371"/>
      <c r="Z48" s="371"/>
      <c r="AA48" s="371"/>
      <c r="AB48" s="371"/>
      <c r="AC48" s="371"/>
      <c r="AD48" s="371"/>
      <c r="AE48" s="371"/>
      <c r="AF48" s="371"/>
      <c r="AG48" s="371"/>
      <c r="AH48" s="371"/>
      <c r="AI48" s="371"/>
      <c r="AJ48" s="371"/>
      <c r="AK48" s="1262" t="s">
        <v>505</v>
      </c>
      <c r="AM48" s="504"/>
      <c r="AN48" s="504" t="str">
        <f>IF(T48="","",T48)</f>
        <v>Добавить значение признака дифференциации</v>
      </c>
      <c r="AO48" s="504"/>
      <c r="AP48" s="504"/>
      <c r="AQ48" s="1159">
        <v>20</v>
      </c>
    </row>
    <row customHeight="1" ht="22.049999999999997">
      <c r="A49" s="1367" t="s">
        <v>249</v>
      </c>
      <c r="B49" s="1367" t="s">
        <v>250</v>
      </c>
      <c r="C49" s="1367" t="s">
        <v>251</v>
      </c>
      <c r="D49" s="1367" t="s">
        <v>514</v>
      </c>
      <c r="E49" s="2263"/>
      <c r="F49" s="2263"/>
      <c r="G49" s="2263"/>
      <c r="H49" s="2263"/>
      <c r="I49" s="2260"/>
      <c r="J49" s="1367"/>
      <c r="K49" s="1367"/>
      <c r="L49" s="1368"/>
      <c r="P49" s="2261"/>
      <c r="Q49" s="1454"/>
      <c r="R49" s="360"/>
      <c r="S49" s="1282"/>
      <c r="T49" s="369" t="s">
        <v>430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249</v>
      </c>
      <c r="B50" s="1367" t="s">
        <v>250</v>
      </c>
      <c r="C50" s="1367" t="s">
        <v>251</v>
      </c>
      <c r="D50" s="1367" t="s">
        <v>514</v>
      </c>
      <c r="E50" s="2263"/>
      <c r="F50" s="2263"/>
      <c r="G50" s="2263"/>
      <c r="H50" s="2262"/>
      <c r="I50" s="1367"/>
      <c r="J50" s="1367"/>
      <c r="K50" s="1367"/>
      <c r="L50" s="1368"/>
      <c r="M50" s="1369"/>
      <c r="N50" s="1369"/>
      <c r="O50" s="541"/>
      <c r="P50" s="364"/>
      <c r="Q50" s="379"/>
      <c r="R50" s="359"/>
      <c r="S50" s="1282"/>
      <c r="T50" s="376" t="s">
        <v>506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249</v>
      </c>
      <c r="B51" s="1347" t="s">
        <v>250</v>
      </c>
      <c r="C51" s="1318"/>
      <c r="D51" s="1318"/>
      <c r="E51" s="2263"/>
      <c r="F51" s="2262"/>
      <c r="G51" s="1318"/>
      <c r="H51" s="1318"/>
      <c r="I51" s="1318"/>
      <c r="J51" s="1318"/>
      <c r="K51" s="1318"/>
      <c r="L51" s="1462"/>
      <c r="M51" s="1325"/>
      <c r="N51" s="1325"/>
      <c r="P51" s="1320"/>
      <c r="Q51" s="1321"/>
      <c r="R51" s="1320"/>
      <c r="S51" s="1326"/>
      <c r="T51" s="1329" t="s">
        <v>433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249</v>
      </c>
      <c r="B52" s="1347"/>
      <c r="C52" s="1347"/>
      <c r="D52" s="1347"/>
      <c r="E52" s="2262"/>
      <c r="F52" s="1347"/>
      <c r="G52" s="1347"/>
      <c r="H52" s="1347"/>
      <c r="I52" s="1347"/>
      <c r="J52" s="1347"/>
      <c r="K52" s="1347"/>
      <c r="L52" s="1350"/>
      <c r="M52" s="1325"/>
      <c r="N52" s="1325"/>
      <c r="O52" s="522"/>
      <c r="P52" s="384"/>
      <c r="Q52" s="1348"/>
      <c r="R52" s="384"/>
      <c r="S52" s="1326"/>
      <c r="T52" s="1329" t="s">
        <v>434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466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138655-9049-50E5-25E4-AB4D69BB577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143</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415</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416</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499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500</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501</v>
      </c>
      <c r="U5" s="304"/>
      <c r="V5" s="2354"/>
      <c r="W5" s="2355"/>
      <c r="X5" s="2355"/>
      <c r="Y5" s="2355"/>
      <c r="Z5" s="2355"/>
      <c r="AA5" s="2355"/>
      <c r="AB5" s="2356"/>
      <c r="AC5" s="2357"/>
      <c r="AD5" s="2358"/>
      <c r="AE5" s="2358"/>
      <c r="AF5" s="2358"/>
      <c r="AG5" s="2358"/>
      <c r="AH5" s="2358"/>
      <c r="AI5" s="2358"/>
      <c r="AJ5" s="2359"/>
      <c r="AK5" s="1262" t="s">
        <v>502</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424</v>
      </c>
      <c r="P6" s="2261"/>
      <c r="Q6" s="2261">
        <v>1</v>
      </c>
      <c r="R6" s="361"/>
      <c r="S6" s="1461">
        <f>$J6</f>
      </c>
      <c r="T6" s="290" t="s">
        <v>425</v>
      </c>
      <c r="U6" s="304"/>
      <c r="V6" s="2249"/>
      <c r="W6" s="2250"/>
      <c r="X6" s="2250"/>
      <c r="Y6" s="2250"/>
      <c r="Z6" s="2250"/>
      <c r="AA6" s="2250"/>
      <c r="AB6" s="2251"/>
      <c r="AC6" s="2249"/>
      <c r="AD6" s="2250"/>
      <c r="AE6" s="2250"/>
      <c r="AF6" s="2250"/>
      <c r="AG6" s="2250"/>
      <c r="AH6" s="2250"/>
      <c r="AI6" s="2250"/>
      <c r="AJ6" s="2251"/>
      <c r="AK6" s="1311" t="s">
        <v>503</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504</v>
      </c>
      <c r="U9" s="371"/>
      <c r="V9" s="371"/>
      <c r="W9" s="371"/>
      <c r="X9" s="371"/>
      <c r="Y9" s="371"/>
      <c r="Z9" s="371"/>
      <c r="AA9" s="371"/>
      <c r="AB9" s="371"/>
      <c r="AC9" s="371"/>
      <c r="AD9" s="371"/>
      <c r="AE9" s="371"/>
      <c r="AF9" s="371"/>
      <c r="AG9" s="371"/>
      <c r="AH9" s="371"/>
      <c r="AI9" s="371"/>
      <c r="AJ9" s="371"/>
      <c r="AK9" s="1262" t="s">
        <v>505</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430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433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434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435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436</v>
      </c>
      <c r="P20" s="1366"/>
      <c r="Q20" s="1446"/>
      <c r="R20" s="1446"/>
      <c r="S20" s="733"/>
      <c r="T20" s="1164" t="s">
        <v>437</v>
      </c>
      <c r="Z20" s="190" t="s">
        <v>438</v>
      </c>
      <c r="AB20" s="190" t="s">
        <v>439</v>
      </c>
      <c r="AC20" s="1164" t="s">
        <v>437</v>
      </c>
      <c r="AG20" s="190" t="s">
        <v>440</v>
      </c>
      <c r="AI20" s="190" t="s">
        <v>439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"Теплоэнерго"</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41</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441</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442</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42</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443</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444</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445</v>
      </c>
      <c r="AC34" s="330"/>
      <c r="AD34" s="330"/>
      <c r="AE34" s="330"/>
      <c r="AF34" s="330"/>
      <c r="AG34" s="330"/>
      <c r="AH34" s="330"/>
      <c r="AI34" s="282" t="s">
        <v>445</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318</v>
      </c>
      <c r="T36" s="2131"/>
      <c r="U36" s="2131"/>
      <c r="V36" s="2131"/>
      <c r="W36" s="2131"/>
      <c r="X36" s="2131"/>
      <c r="Y36" s="2131"/>
      <c r="Z36" s="2131"/>
      <c r="AA36" s="2131"/>
      <c r="AB36" s="2131"/>
      <c r="AC36" s="2131"/>
      <c r="AD36" s="2131"/>
      <c r="AE36" s="2131"/>
      <c r="AF36" s="2131"/>
      <c r="AG36" s="2131"/>
      <c r="AH36" s="2131"/>
      <c r="AI36" s="2131"/>
      <c r="AJ36" s="2131"/>
      <c r="AK36" s="2131" t="s">
        <v>319</v>
      </c>
      <c r="AQ36" s="1159">
        <v>14</v>
      </c>
    </row>
    <row customHeight="1" ht="14.699999999999998">
      <c r="Q37" s="380"/>
      <c r="R37" s="380"/>
      <c r="S37" s="2277" t="s">
        <v>88</v>
      </c>
      <c r="T37" s="2213" t="s">
        <v>446</v>
      </c>
      <c r="U37" s="305"/>
      <c r="V37" s="2278" t="s">
        <v>447</v>
      </c>
      <c r="W37" s="2279"/>
      <c r="X37" s="2279"/>
      <c r="Y37" s="2279"/>
      <c r="Z37" s="2279"/>
      <c r="AA37" s="2280"/>
      <c r="AB37" s="2281" t="s">
        <v>448</v>
      </c>
      <c r="AC37" s="2278" t="s">
        <v>447</v>
      </c>
      <c r="AD37" s="2279"/>
      <c r="AE37" s="2279"/>
      <c r="AF37" s="2279"/>
      <c r="AG37" s="2279"/>
      <c r="AH37" s="2280"/>
      <c r="AI37" s="2281" t="s">
        <v>449</v>
      </c>
      <c r="AJ37" s="2284" t="s">
        <v>450</v>
      </c>
      <c r="AK37" s="2131"/>
      <c r="AQ37" s="1159">
        <v>14</v>
      </c>
    </row>
    <row customHeight="1" ht="35.699999999999996">
      <c r="Q38" s="380"/>
      <c r="R38" s="380"/>
      <c r="S38" s="2277"/>
      <c r="T38" s="2213"/>
      <c r="U38" s="1035"/>
      <c r="V38" s="1456" t="s">
        <v>507</v>
      </c>
      <c r="W38" s="2266" t="s">
        <v>453</v>
      </c>
      <c r="X38" s="2267"/>
      <c r="Y38" s="2266" t="s">
        <v>454</v>
      </c>
      <c r="Z38" s="2273"/>
      <c r="AA38" s="2267"/>
      <c r="AB38" s="2282"/>
      <c r="AC38" s="1456" t="s">
        <v>507</v>
      </c>
      <c r="AD38" s="2266" t="s">
        <v>453</v>
      </c>
      <c r="AE38" s="2267"/>
      <c r="AF38" s="2266" t="s">
        <v>454</v>
      </c>
      <c r="AG38" s="2273"/>
      <c r="AH38" s="2267"/>
      <c r="AI38" s="2282"/>
      <c r="AJ38" s="2285"/>
      <c r="AK38" s="2131"/>
      <c r="AQ38" s="1159">
        <v>34</v>
      </c>
    </row>
    <row customHeight="1" ht="35.699999999999996">
      <c r="A39" s="1374"/>
      <c r="B39" s="1374" t="s">
        <v>155</v>
      </c>
      <c r="C39" s="1374" t="s">
        <v>156</v>
      </c>
      <c r="D39" s="1374" t="s">
        <v>157</v>
      </c>
      <c r="E39" s="1368" t="s">
        <v>455</v>
      </c>
      <c r="F39" s="1368" t="s">
        <v>456</v>
      </c>
      <c r="G39" s="1368" t="s">
        <v>457</v>
      </c>
      <c r="H39" s="1368"/>
      <c r="I39" s="1368" t="s">
        <v>508</v>
      </c>
      <c r="J39" s="1368" t="s">
        <v>460</v>
      </c>
      <c r="K39" s="1368" t="s">
        <v>509</v>
      </c>
      <c r="L39" s="1368" t="s">
        <v>436</v>
      </c>
      <c r="Q39" s="380"/>
      <c r="R39" s="380"/>
      <c r="S39" s="2277"/>
      <c r="T39" s="2213"/>
      <c r="U39" s="306"/>
      <c r="V39" s="1456" t="s">
        <v>510</v>
      </c>
      <c r="W39" s="1226" t="s">
        <v>511</v>
      </c>
      <c r="X39" s="1226" t="s">
        <v>512</v>
      </c>
      <c r="Y39" s="1459" t="s">
        <v>464</v>
      </c>
      <c r="Z39" s="2274" t="s">
        <v>465</v>
      </c>
      <c r="AA39" s="2275"/>
      <c r="AB39" s="2283"/>
      <c r="AC39" s="1456" t="s">
        <v>510</v>
      </c>
      <c r="AD39" s="1226" t="s">
        <v>511</v>
      </c>
      <c r="AE39" s="1226" t="s">
        <v>512</v>
      </c>
      <c r="AF39" s="1459" t="s">
        <v>464</v>
      </c>
      <c r="AG39" s="2274" t="s">
        <v>465</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119</v>
      </c>
      <c r="T40" s="1259" t="s">
        <v>103</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254</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143</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254</v>
      </c>
      <c r="B42" s="1367" t="s">
        <v>255</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415</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416</v>
      </c>
      <c r="AM42" s="504"/>
      <c r="AN42" s="504" t="str">
        <f>IF(T42="","",T42)</f>
        <v>Территория действия тарифа</v>
      </c>
      <c r="AO42" s="504"/>
      <c r="AP42" s="504"/>
      <c r="AQ42" s="1159">
        <v>23</v>
      </c>
    </row>
    <row customHeight="1" ht="24">
      <c r="A43" s="1367" t="s">
        <v>254</v>
      </c>
      <c r="B43" s="1367" t="s">
        <v>255</v>
      </c>
      <c r="C43" s="1367" t="s">
        <v>256</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499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500</v>
      </c>
      <c r="AM43" s="504"/>
      <c r="AN43" s="504" t="str">
        <f>IF(T43="","",T43)</f>
        <v>Наименование централизованной системы холодного водоснабжения</v>
      </c>
      <c r="AO43" s="504"/>
      <c r="AP43" s="504"/>
      <c r="AQ43" s="1159">
        <v>23</v>
      </c>
    </row>
    <row customHeight="1" ht="24">
      <c r="A44" s="1367" t="s">
        <v>254</v>
      </c>
      <c r="B44" s="1367" t="s">
        <v>255</v>
      </c>
      <c r="C44" s="1367" t="s">
        <v>256</v>
      </c>
      <c r="D44" s="1367" t="s">
        <v>515</v>
      </c>
      <c r="E44" s="2263"/>
      <c r="F44" s="2263"/>
      <c r="G44" s="2263"/>
      <c r="H44" s="2263"/>
      <c r="I44" s="2260" t="str">
        <f>S43&amp;".1"</f>
        <v>...1</v>
      </c>
      <c r="J44" s="1367"/>
      <c r="K44" s="1367"/>
      <c r="L44" s="1368"/>
      <c r="P44" s="2261">
        <v>1</v>
      </c>
      <c r="Q44" s="1454"/>
      <c r="R44" s="360"/>
      <c r="S44" s="1461" t="str">
        <f>$I44</f>
        <v>...1</v>
      </c>
      <c r="T44" s="289" t="s">
        <v>501</v>
      </c>
      <c r="U44" s="304"/>
      <c r="V44" s="2354"/>
      <c r="W44" s="2355"/>
      <c r="X44" s="2355"/>
      <c r="Y44" s="2355"/>
      <c r="Z44" s="2355"/>
      <c r="AA44" s="2355"/>
      <c r="AB44" s="2356"/>
      <c r="AC44" s="2357"/>
      <c r="AD44" s="2358"/>
      <c r="AE44" s="2358"/>
      <c r="AF44" s="2358"/>
      <c r="AG44" s="2358"/>
      <c r="AH44" s="2358"/>
      <c r="AI44" s="2358"/>
      <c r="AJ44" s="2359"/>
      <c r="AK44" s="1262" t="s">
        <v>502</v>
      </c>
      <c r="AM44" s="504"/>
      <c r="AN44" s="504" t="str">
        <f>IF(T44="","",T44)</f>
        <v>Наименование признака дифференциации</v>
      </c>
      <c r="AO44" s="504"/>
      <c r="AP44" s="504"/>
      <c r="AQ44" s="1159">
        <v>23</v>
      </c>
    </row>
    <row customHeight="1" ht="24">
      <c r="A45" s="1367" t="s">
        <v>254</v>
      </c>
      <c r="B45" s="1367" t="s">
        <v>255</v>
      </c>
      <c r="C45" s="1367" t="s">
        <v>256</v>
      </c>
      <c r="D45" s="1367" t="s">
        <v>515</v>
      </c>
      <c r="E45" s="2263"/>
      <c r="F45" s="2263"/>
      <c r="G45" s="2263"/>
      <c r="H45" s="2263"/>
      <c r="I45" s="2290"/>
      <c r="J45" s="2260" t="str">
        <f>I44&amp;".1"</f>
        <v>...1.1</v>
      </c>
      <c r="K45" s="1367"/>
      <c r="L45" s="1368" t="s">
        <v>424</v>
      </c>
      <c r="P45" s="2261"/>
      <c r="Q45" s="2261">
        <v>1</v>
      </c>
      <c r="R45" s="361"/>
      <c r="S45" s="1461" t="str">
        <f>$J45</f>
        <v>...1.1</v>
      </c>
      <c r="T45" s="290" t="s">
        <v>425</v>
      </c>
      <c r="U45" s="304"/>
      <c r="V45" s="2249"/>
      <c r="W45" s="2250"/>
      <c r="X45" s="2250"/>
      <c r="Y45" s="2250"/>
      <c r="Z45" s="2250"/>
      <c r="AA45" s="2250"/>
      <c r="AB45" s="2251"/>
      <c r="AC45" s="2249"/>
      <c r="AD45" s="2250"/>
      <c r="AE45" s="2250"/>
      <c r="AF45" s="2250"/>
      <c r="AG45" s="2250"/>
      <c r="AH45" s="2250"/>
      <c r="AI45" s="2250"/>
      <c r="AJ45" s="2251"/>
      <c r="AK45" s="1311" t="s">
        <v>503</v>
      </c>
      <c r="AM45" s="504"/>
      <c r="AN45" s="504" t="str">
        <f>IF(T45="","",T45)</f>
        <v>Группа потребителей</v>
      </c>
      <c r="AO45" s="504"/>
      <c r="AP45" s="504"/>
      <c r="AQ45" s="1159">
        <v>23</v>
      </c>
    </row>
    <row customHeight="1" ht="24">
      <c r="A46" s="1367" t="s">
        <v>254</v>
      </c>
      <c r="B46" s="1367" t="s">
        <v>255</v>
      </c>
      <c r="C46" s="1367" t="s">
        <v>256</v>
      </c>
      <c r="D46" s="1367" t="s">
        <v>515</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62</v>
      </c>
      <c r="AA46" s="2269"/>
      <c r="AB46" s="2111" t="s">
        <v>62</v>
      </c>
      <c r="AC46" s="755"/>
      <c r="AD46" s="755"/>
      <c r="AE46" s="1261"/>
      <c r="AF46" s="2269"/>
      <c r="AG46" s="2111" t="s">
        <v>62</v>
      </c>
      <c r="AH46" s="2291"/>
      <c r="AI46" s="2111" t="s">
        <v>62</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254</v>
      </c>
      <c r="B47" s="1367" t="s">
        <v>255</v>
      </c>
      <c r="C47" s="1367" t="s">
        <v>256</v>
      </c>
      <c r="D47" s="1367" t="s">
        <v>515</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254</v>
      </c>
      <c r="B48" s="1367" t="s">
        <v>255</v>
      </c>
      <c r="C48" s="1367" t="s">
        <v>256</v>
      </c>
      <c r="D48" s="1367" t="s">
        <v>515</v>
      </c>
      <c r="E48" s="2263"/>
      <c r="F48" s="2263"/>
      <c r="G48" s="2263"/>
      <c r="H48" s="2263"/>
      <c r="I48" s="2290"/>
      <c r="J48" s="2260"/>
      <c r="K48" s="1367"/>
      <c r="L48" s="1368"/>
      <c r="P48" s="2261"/>
      <c r="Q48" s="2261"/>
      <c r="R48" s="360"/>
      <c r="S48" s="1282"/>
      <c r="T48" s="291" t="s">
        <v>504</v>
      </c>
      <c r="U48" s="371"/>
      <c r="V48" s="371"/>
      <c r="W48" s="371"/>
      <c r="X48" s="371"/>
      <c r="Y48" s="371"/>
      <c r="Z48" s="371"/>
      <c r="AA48" s="371"/>
      <c r="AB48" s="371"/>
      <c r="AC48" s="371"/>
      <c r="AD48" s="371"/>
      <c r="AE48" s="371"/>
      <c r="AF48" s="371"/>
      <c r="AG48" s="371"/>
      <c r="AH48" s="371"/>
      <c r="AI48" s="371"/>
      <c r="AJ48" s="371"/>
      <c r="AK48" s="1262" t="s">
        <v>505</v>
      </c>
      <c r="AM48" s="504"/>
      <c r="AN48" s="504" t="str">
        <f>IF(T48="","",T48)</f>
        <v>Добавить значение признака дифференциации</v>
      </c>
      <c r="AO48" s="504"/>
      <c r="AP48" s="504"/>
      <c r="AQ48" s="1159">
        <v>20</v>
      </c>
    </row>
    <row customHeight="1" ht="22.049999999999997">
      <c r="A49" s="1367" t="s">
        <v>254</v>
      </c>
      <c r="B49" s="1367" t="s">
        <v>255</v>
      </c>
      <c r="C49" s="1367" t="s">
        <v>256</v>
      </c>
      <c r="D49" s="1367" t="s">
        <v>515</v>
      </c>
      <c r="E49" s="2263"/>
      <c r="F49" s="2263"/>
      <c r="G49" s="2263"/>
      <c r="H49" s="2263"/>
      <c r="I49" s="2260"/>
      <c r="J49" s="1367"/>
      <c r="K49" s="1367"/>
      <c r="L49" s="1368"/>
      <c r="P49" s="2261"/>
      <c r="Q49" s="1454"/>
      <c r="R49" s="360"/>
      <c r="S49" s="1282"/>
      <c r="T49" s="369" t="s">
        <v>430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254</v>
      </c>
      <c r="B50" s="1367" t="s">
        <v>255</v>
      </c>
      <c r="C50" s="1367" t="s">
        <v>256</v>
      </c>
      <c r="D50" s="1367" t="s">
        <v>515</v>
      </c>
      <c r="E50" s="2263"/>
      <c r="F50" s="2263"/>
      <c r="G50" s="2263"/>
      <c r="H50" s="2262"/>
      <c r="I50" s="1367"/>
      <c r="J50" s="1367"/>
      <c r="K50" s="1367"/>
      <c r="L50" s="1368"/>
      <c r="M50" s="1369"/>
      <c r="N50" s="1369"/>
      <c r="O50" s="541"/>
      <c r="P50" s="364"/>
      <c r="Q50" s="379"/>
      <c r="R50" s="359"/>
      <c r="S50" s="1282"/>
      <c r="T50" s="376" t="s">
        <v>506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254</v>
      </c>
      <c r="B51" s="1347" t="s">
        <v>255</v>
      </c>
      <c r="C51" s="1318"/>
      <c r="D51" s="1318"/>
      <c r="E51" s="2263"/>
      <c r="F51" s="2262"/>
      <c r="G51" s="1318"/>
      <c r="H51" s="1318"/>
      <c r="I51" s="1318"/>
      <c r="J51" s="1318"/>
      <c r="K51" s="1318"/>
      <c r="L51" s="1462"/>
      <c r="M51" s="1325"/>
      <c r="N51" s="1325"/>
      <c r="P51" s="1320"/>
      <c r="Q51" s="1321"/>
      <c r="R51" s="1320"/>
      <c r="S51" s="1326"/>
      <c r="T51" s="1329" t="s">
        <v>433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254</v>
      </c>
      <c r="B52" s="1347"/>
      <c r="C52" s="1347"/>
      <c r="D52" s="1347"/>
      <c r="E52" s="2262"/>
      <c r="F52" s="1347"/>
      <c r="G52" s="1347"/>
      <c r="H52" s="1347"/>
      <c r="I52" s="1347"/>
      <c r="J52" s="1347"/>
      <c r="K52" s="1347"/>
      <c r="L52" s="1350"/>
      <c r="M52" s="1325"/>
      <c r="N52" s="1325"/>
      <c r="O52" s="522"/>
      <c r="P52" s="384"/>
      <c r="Q52" s="1348"/>
      <c r="R52" s="384"/>
      <c r="S52" s="1326"/>
      <c r="T52" s="1329" t="s">
        <v>434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466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0FED95-CE0A-3D3E-F529-7327293B33C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143</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415</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416</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499</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500</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501</v>
      </c>
      <c r="U5" s="304"/>
      <c r="V5" s="2354"/>
      <c r="W5" s="2355"/>
      <c r="X5" s="2355"/>
      <c r="Y5" s="2355"/>
      <c r="Z5" s="2355"/>
      <c r="AA5" s="2355"/>
      <c r="AB5" s="2356"/>
      <c r="AC5" s="2357"/>
      <c r="AD5" s="2358"/>
      <c r="AE5" s="2358"/>
      <c r="AF5" s="2358"/>
      <c r="AG5" s="2358"/>
      <c r="AH5" s="2358"/>
      <c r="AI5" s="2358"/>
      <c r="AJ5" s="2359"/>
      <c r="AK5" s="1262" t="s">
        <v>502</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424</v>
      </c>
      <c r="P6" s="2261"/>
      <c r="Q6" s="2261">
        <v>1</v>
      </c>
      <c r="R6" s="361"/>
      <c r="S6" s="1461">
        <f>$J6</f>
      </c>
      <c r="T6" s="290" t="s">
        <v>425</v>
      </c>
      <c r="U6" s="304"/>
      <c r="V6" s="2249"/>
      <c r="W6" s="2250"/>
      <c r="X6" s="2250"/>
      <c r="Y6" s="2250"/>
      <c r="Z6" s="2250"/>
      <c r="AA6" s="2250"/>
      <c r="AB6" s="2251"/>
      <c r="AC6" s="2249"/>
      <c r="AD6" s="2250"/>
      <c r="AE6" s="2250"/>
      <c r="AF6" s="2250"/>
      <c r="AG6" s="2250"/>
      <c r="AH6" s="2250"/>
      <c r="AI6" s="2250"/>
      <c r="AJ6" s="2251"/>
      <c r="AK6" s="1311" t="s">
        <v>503</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504</v>
      </c>
      <c r="U9" s="371"/>
      <c r="V9" s="371"/>
      <c r="W9" s="371"/>
      <c r="X9" s="371"/>
      <c r="Y9" s="371"/>
      <c r="Z9" s="371"/>
      <c r="AA9" s="371"/>
      <c r="AB9" s="371"/>
      <c r="AC9" s="371"/>
      <c r="AD9" s="371"/>
      <c r="AE9" s="371"/>
      <c r="AF9" s="371"/>
      <c r="AG9" s="371"/>
      <c r="AH9" s="371"/>
      <c r="AI9" s="371"/>
      <c r="AJ9" s="371"/>
      <c r="AK9" s="1262" t="s">
        <v>505</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430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433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434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435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436</v>
      </c>
      <c r="P20" s="1366"/>
      <c r="Q20" s="1446"/>
      <c r="R20" s="1446"/>
      <c r="S20" s="733"/>
      <c r="T20" s="1164" t="s">
        <v>437</v>
      </c>
      <c r="Z20" s="190" t="s">
        <v>438</v>
      </c>
      <c r="AB20" s="190" t="s">
        <v>439</v>
      </c>
      <c r="AC20" s="1164" t="s">
        <v>437</v>
      </c>
      <c r="AG20" s="190" t="s">
        <v>440</v>
      </c>
      <c r="AI20" s="190" t="s">
        <v>439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"Теплоэнерго"</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41</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441</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442</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42</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443</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444</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445</v>
      </c>
      <c r="AC34" s="330"/>
      <c r="AD34" s="330"/>
      <c r="AE34" s="330"/>
      <c r="AF34" s="330"/>
      <c r="AG34" s="330"/>
      <c r="AH34" s="330"/>
      <c r="AI34" s="282" t="s">
        <v>445</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318</v>
      </c>
      <c r="T36" s="2131"/>
      <c r="U36" s="2131"/>
      <c r="V36" s="2131"/>
      <c r="W36" s="2131"/>
      <c r="X36" s="2131"/>
      <c r="Y36" s="2131"/>
      <c r="Z36" s="2131"/>
      <c r="AA36" s="2131"/>
      <c r="AB36" s="2131"/>
      <c r="AC36" s="2131"/>
      <c r="AD36" s="2131"/>
      <c r="AE36" s="2131"/>
      <c r="AF36" s="2131"/>
      <c r="AG36" s="2131"/>
      <c r="AH36" s="2131"/>
      <c r="AI36" s="2131"/>
      <c r="AJ36" s="2131"/>
      <c r="AK36" s="2131" t="s">
        <v>319</v>
      </c>
      <c r="AQ36" s="1159">
        <v>14</v>
      </c>
    </row>
    <row customHeight="1" ht="14.699999999999998">
      <c r="Q37" s="380"/>
      <c r="R37" s="380"/>
      <c r="S37" s="2277" t="s">
        <v>88</v>
      </c>
      <c r="T37" s="2213" t="s">
        <v>446</v>
      </c>
      <c r="U37" s="305"/>
      <c r="V37" s="2278" t="s">
        <v>447</v>
      </c>
      <c r="W37" s="2279"/>
      <c r="X37" s="2279"/>
      <c r="Y37" s="2279"/>
      <c r="Z37" s="2279"/>
      <c r="AA37" s="2280"/>
      <c r="AB37" s="2281" t="s">
        <v>448</v>
      </c>
      <c r="AC37" s="2278" t="s">
        <v>447</v>
      </c>
      <c r="AD37" s="2279"/>
      <c r="AE37" s="2279"/>
      <c r="AF37" s="2279"/>
      <c r="AG37" s="2279"/>
      <c r="AH37" s="2280"/>
      <c r="AI37" s="2281" t="s">
        <v>449</v>
      </c>
      <c r="AJ37" s="2284" t="s">
        <v>450</v>
      </c>
      <c r="AK37" s="2131"/>
      <c r="AQ37" s="1159">
        <v>14</v>
      </c>
    </row>
    <row customHeight="1" ht="35.699999999999996">
      <c r="Q38" s="380"/>
      <c r="R38" s="380"/>
      <c r="S38" s="2277"/>
      <c r="T38" s="2213"/>
      <c r="U38" s="1035"/>
      <c r="V38" s="1456" t="s">
        <v>507</v>
      </c>
      <c r="W38" s="2266" t="s">
        <v>453</v>
      </c>
      <c r="X38" s="2267"/>
      <c r="Y38" s="2266" t="s">
        <v>454</v>
      </c>
      <c r="Z38" s="2273"/>
      <c r="AA38" s="2267"/>
      <c r="AB38" s="2282"/>
      <c r="AC38" s="1456" t="s">
        <v>507</v>
      </c>
      <c r="AD38" s="2266" t="s">
        <v>453</v>
      </c>
      <c r="AE38" s="2267"/>
      <c r="AF38" s="2266" t="s">
        <v>454</v>
      </c>
      <c r="AG38" s="2273"/>
      <c r="AH38" s="2267"/>
      <c r="AI38" s="2282"/>
      <c r="AJ38" s="2285"/>
      <c r="AK38" s="2131"/>
      <c r="AQ38" s="1159">
        <v>34</v>
      </c>
    </row>
    <row customHeight="1" ht="35.699999999999996">
      <c r="A39" s="1374"/>
      <c r="B39" s="1374" t="s">
        <v>155</v>
      </c>
      <c r="C39" s="1374" t="s">
        <v>156</v>
      </c>
      <c r="D39" s="1374" t="s">
        <v>157</v>
      </c>
      <c r="E39" s="1368" t="s">
        <v>455</v>
      </c>
      <c r="F39" s="1368" t="s">
        <v>456</v>
      </c>
      <c r="G39" s="1368" t="s">
        <v>457</v>
      </c>
      <c r="H39" s="1368"/>
      <c r="I39" s="1368" t="s">
        <v>508</v>
      </c>
      <c r="J39" s="1368" t="s">
        <v>460</v>
      </c>
      <c r="K39" s="1368" t="s">
        <v>509</v>
      </c>
      <c r="L39" s="1368" t="s">
        <v>436</v>
      </c>
      <c r="Q39" s="380"/>
      <c r="R39" s="380"/>
      <c r="S39" s="2277"/>
      <c r="T39" s="2213"/>
      <c r="U39" s="306"/>
      <c r="V39" s="1456" t="s">
        <v>510</v>
      </c>
      <c r="W39" s="1226" t="s">
        <v>511</v>
      </c>
      <c r="X39" s="1226" t="s">
        <v>512</v>
      </c>
      <c r="Y39" s="1459" t="s">
        <v>464</v>
      </c>
      <c r="Z39" s="2274" t="s">
        <v>465</v>
      </c>
      <c r="AA39" s="2275"/>
      <c r="AB39" s="2283"/>
      <c r="AC39" s="1456" t="s">
        <v>510</v>
      </c>
      <c r="AD39" s="1226" t="s">
        <v>511</v>
      </c>
      <c r="AE39" s="1226" t="s">
        <v>512</v>
      </c>
      <c r="AF39" s="1459" t="s">
        <v>464</v>
      </c>
      <c r="AG39" s="2274" t="s">
        <v>465</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119</v>
      </c>
      <c r="T40" s="1259" t="s">
        <v>103</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259</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143</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259</v>
      </c>
      <c r="B42" s="1367" t="s">
        <v>260</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415</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416</v>
      </c>
      <c r="AM42" s="504"/>
      <c r="AN42" s="504" t="str">
        <f>IF(T42="","",T42)</f>
        <v>Территория действия тарифа</v>
      </c>
      <c r="AO42" s="504"/>
      <c r="AP42" s="504"/>
      <c r="AQ42" s="1159">
        <v>23</v>
      </c>
    </row>
    <row customHeight="1" ht="24">
      <c r="A43" s="1367" t="s">
        <v>259</v>
      </c>
      <c r="B43" s="1367" t="s">
        <v>260</v>
      </c>
      <c r="C43" s="1367" t="s">
        <v>261</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499</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500</v>
      </c>
      <c r="AM43" s="504"/>
      <c r="AN43" s="504" t="str">
        <f>IF(T43="","",T43)</f>
        <v>Наименование централизованной системы холодного водоснабжения</v>
      </c>
      <c r="AO43" s="504"/>
      <c r="AP43" s="504"/>
      <c r="AQ43" s="1159">
        <v>23</v>
      </c>
    </row>
    <row customHeight="1" ht="24">
      <c r="A44" s="1367" t="s">
        <v>259</v>
      </c>
      <c r="B44" s="1367" t="s">
        <v>260</v>
      </c>
      <c r="C44" s="1367" t="s">
        <v>261</v>
      </c>
      <c r="D44" s="1367" t="s">
        <v>516</v>
      </c>
      <c r="E44" s="2263"/>
      <c r="F44" s="2263"/>
      <c r="G44" s="2263"/>
      <c r="H44" s="2263"/>
      <c r="I44" s="2260" t="str">
        <f>S43&amp;".1"</f>
        <v>...1</v>
      </c>
      <c r="J44" s="1367"/>
      <c r="K44" s="1367"/>
      <c r="L44" s="1368"/>
      <c r="P44" s="2261">
        <v>1</v>
      </c>
      <c r="Q44" s="1454"/>
      <c r="R44" s="360"/>
      <c r="S44" s="1461" t="str">
        <f>$I44</f>
        <v>...1</v>
      </c>
      <c r="T44" s="289" t="s">
        <v>501</v>
      </c>
      <c r="U44" s="304"/>
      <c r="V44" s="2354"/>
      <c r="W44" s="2355"/>
      <c r="X44" s="2355"/>
      <c r="Y44" s="2355"/>
      <c r="Z44" s="2355"/>
      <c r="AA44" s="2355"/>
      <c r="AB44" s="2356"/>
      <c r="AC44" s="2357"/>
      <c r="AD44" s="2358"/>
      <c r="AE44" s="2358"/>
      <c r="AF44" s="2358"/>
      <c r="AG44" s="2358"/>
      <c r="AH44" s="2358"/>
      <c r="AI44" s="2358"/>
      <c r="AJ44" s="2359"/>
      <c r="AK44" s="1262" t="s">
        <v>502</v>
      </c>
      <c r="AM44" s="504"/>
      <c r="AN44" s="504" t="str">
        <f>IF(T44="","",T44)</f>
        <v>Наименование признака дифференциации</v>
      </c>
      <c r="AO44" s="504"/>
      <c r="AP44" s="504"/>
      <c r="AQ44" s="1159">
        <v>23</v>
      </c>
    </row>
    <row customHeight="1" ht="24">
      <c r="A45" s="1367" t="s">
        <v>259</v>
      </c>
      <c r="B45" s="1367" t="s">
        <v>260</v>
      </c>
      <c r="C45" s="1367" t="s">
        <v>261</v>
      </c>
      <c r="D45" s="1367" t="s">
        <v>516</v>
      </c>
      <c r="E45" s="2263"/>
      <c r="F45" s="2263"/>
      <c r="G45" s="2263"/>
      <c r="H45" s="2263"/>
      <c r="I45" s="2290"/>
      <c r="J45" s="2260" t="str">
        <f>I44&amp;".1"</f>
        <v>...1.1</v>
      </c>
      <c r="K45" s="1367"/>
      <c r="L45" s="1368" t="s">
        <v>424</v>
      </c>
      <c r="P45" s="2261"/>
      <c r="Q45" s="2261">
        <v>1</v>
      </c>
      <c r="R45" s="361"/>
      <c r="S45" s="1461" t="str">
        <f>$J45</f>
        <v>...1.1</v>
      </c>
      <c r="T45" s="290" t="s">
        <v>425</v>
      </c>
      <c r="U45" s="304"/>
      <c r="V45" s="2249"/>
      <c r="W45" s="2250"/>
      <c r="X45" s="2250"/>
      <c r="Y45" s="2250"/>
      <c r="Z45" s="2250"/>
      <c r="AA45" s="2250"/>
      <c r="AB45" s="2251"/>
      <c r="AC45" s="2249"/>
      <c r="AD45" s="2250"/>
      <c r="AE45" s="2250"/>
      <c r="AF45" s="2250"/>
      <c r="AG45" s="2250"/>
      <c r="AH45" s="2250"/>
      <c r="AI45" s="2250"/>
      <c r="AJ45" s="2251"/>
      <c r="AK45" s="1311" t="s">
        <v>503</v>
      </c>
      <c r="AM45" s="504"/>
      <c r="AN45" s="504" t="str">
        <f>IF(T45="","",T45)</f>
        <v>Группа потребителей</v>
      </c>
      <c r="AO45" s="504"/>
      <c r="AP45" s="504"/>
      <c r="AQ45" s="1159">
        <v>23</v>
      </c>
    </row>
    <row customHeight="1" ht="24">
      <c r="A46" s="1367" t="s">
        <v>259</v>
      </c>
      <c r="B46" s="1367" t="s">
        <v>260</v>
      </c>
      <c r="C46" s="1367" t="s">
        <v>261</v>
      </c>
      <c r="D46" s="1367" t="s">
        <v>516</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62</v>
      </c>
      <c r="AA46" s="2269"/>
      <c r="AB46" s="2111" t="s">
        <v>62</v>
      </c>
      <c r="AC46" s="755"/>
      <c r="AD46" s="755"/>
      <c r="AE46" s="1261"/>
      <c r="AF46" s="2269"/>
      <c r="AG46" s="2111" t="s">
        <v>62</v>
      </c>
      <c r="AH46" s="2291"/>
      <c r="AI46" s="2111" t="s">
        <v>62</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259</v>
      </c>
      <c r="B47" s="1367" t="s">
        <v>260</v>
      </c>
      <c r="C47" s="1367" t="s">
        <v>261</v>
      </c>
      <c r="D47" s="1367" t="s">
        <v>516</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259</v>
      </c>
      <c r="B48" s="1367" t="s">
        <v>260</v>
      </c>
      <c r="C48" s="1367" t="s">
        <v>261</v>
      </c>
      <c r="D48" s="1367" t="s">
        <v>516</v>
      </c>
      <c r="E48" s="2263"/>
      <c r="F48" s="2263"/>
      <c r="G48" s="2263"/>
      <c r="H48" s="2263"/>
      <c r="I48" s="2290"/>
      <c r="J48" s="2260"/>
      <c r="K48" s="1367"/>
      <c r="L48" s="1368"/>
      <c r="P48" s="2261"/>
      <c r="Q48" s="2261"/>
      <c r="R48" s="360"/>
      <c r="S48" s="1282"/>
      <c r="T48" s="291" t="s">
        <v>504</v>
      </c>
      <c r="U48" s="371"/>
      <c r="V48" s="371"/>
      <c r="W48" s="371"/>
      <c r="X48" s="371"/>
      <c r="Y48" s="371"/>
      <c r="Z48" s="371"/>
      <c r="AA48" s="371"/>
      <c r="AB48" s="371"/>
      <c r="AC48" s="371"/>
      <c r="AD48" s="371"/>
      <c r="AE48" s="371"/>
      <c r="AF48" s="371"/>
      <c r="AG48" s="371"/>
      <c r="AH48" s="371"/>
      <c r="AI48" s="371"/>
      <c r="AJ48" s="371"/>
      <c r="AK48" s="1262" t="s">
        <v>505</v>
      </c>
      <c r="AM48" s="504"/>
      <c r="AN48" s="504" t="str">
        <f>IF(T48="","",T48)</f>
        <v>Добавить значение признака дифференциации</v>
      </c>
      <c r="AO48" s="504"/>
      <c r="AP48" s="504"/>
      <c r="AQ48" s="1159">
        <v>20</v>
      </c>
    </row>
    <row customHeight="1" ht="22.049999999999997">
      <c r="A49" s="1367" t="s">
        <v>259</v>
      </c>
      <c r="B49" s="1367" t="s">
        <v>260</v>
      </c>
      <c r="C49" s="1367" t="s">
        <v>261</v>
      </c>
      <c r="D49" s="1367" t="s">
        <v>516</v>
      </c>
      <c r="E49" s="2263"/>
      <c r="F49" s="2263"/>
      <c r="G49" s="2263"/>
      <c r="H49" s="2263"/>
      <c r="I49" s="2260"/>
      <c r="J49" s="1367"/>
      <c r="K49" s="1367"/>
      <c r="L49" s="1368"/>
      <c r="P49" s="2261"/>
      <c r="Q49" s="1454"/>
      <c r="R49" s="360"/>
      <c r="S49" s="1282"/>
      <c r="T49" s="369" t="s">
        <v>430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259</v>
      </c>
      <c r="B50" s="1367" t="s">
        <v>260</v>
      </c>
      <c r="C50" s="1367" t="s">
        <v>261</v>
      </c>
      <c r="D50" s="1367" t="s">
        <v>516</v>
      </c>
      <c r="E50" s="2263"/>
      <c r="F50" s="2263"/>
      <c r="G50" s="2263"/>
      <c r="H50" s="2262"/>
      <c r="I50" s="1367"/>
      <c r="J50" s="1367"/>
      <c r="K50" s="1367"/>
      <c r="L50" s="1368"/>
      <c r="M50" s="1369"/>
      <c r="N50" s="1369"/>
      <c r="O50" s="541"/>
      <c r="P50" s="364"/>
      <c r="Q50" s="379"/>
      <c r="R50" s="359"/>
      <c r="S50" s="1282"/>
      <c r="T50" s="376" t="s">
        <v>506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259</v>
      </c>
      <c r="B51" s="1347" t="s">
        <v>260</v>
      </c>
      <c r="C51" s="1318"/>
      <c r="D51" s="1318"/>
      <c r="E51" s="2263"/>
      <c r="F51" s="2262"/>
      <c r="G51" s="1318"/>
      <c r="H51" s="1318"/>
      <c r="I51" s="1318"/>
      <c r="J51" s="1318"/>
      <c r="K51" s="1318"/>
      <c r="L51" s="1462"/>
      <c r="M51" s="1325"/>
      <c r="N51" s="1325"/>
      <c r="P51" s="1320"/>
      <c r="Q51" s="1321"/>
      <c r="R51" s="1320"/>
      <c r="S51" s="1326"/>
      <c r="T51" s="1329" t="s">
        <v>433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259</v>
      </c>
      <c r="B52" s="1347"/>
      <c r="C52" s="1347"/>
      <c r="D52" s="1347"/>
      <c r="E52" s="2262"/>
      <c r="F52" s="1347"/>
      <c r="G52" s="1347"/>
      <c r="H52" s="1347"/>
      <c r="I52" s="1347"/>
      <c r="J52" s="1347"/>
      <c r="K52" s="1347"/>
      <c r="L52" s="1350"/>
      <c r="M52" s="1325"/>
      <c r="N52" s="1325"/>
      <c r="O52" s="522"/>
      <c r="P52" s="384"/>
      <c r="Q52" s="1348"/>
      <c r="R52" s="384"/>
      <c r="S52" s="1326"/>
      <c r="T52" s="1329" t="s">
        <v>434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466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EEDC5E-C0AD-EEB9-8D0F-E33B49F1F1AB}"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9" width="10.140625" hidden="1" customWidth="1"/>
    <col min="4" max="4" style="1639" width="11.8515625" hidden="1" customWidth="1"/>
    <col min="5" max="11" style="1639" width="10.140625" hidden="1" customWidth="1"/>
    <col min="12" max="12" style="2129" width="10.140625" hidden="1" customWidth="1"/>
    <col min="13" max="15" style="2401" width="10.14062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27.00390625" customWidth="1"/>
    <col min="29" max="29" style="1639" width="24.57421875" customWidth="1"/>
    <col min="30" max="31" style="1639" width="21.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0.75" hidden="1">
      <c r="AQ1" s="1635" t="s">
        <v>14</v>
      </c>
    </row>
    <row customHeight="1" ht="21" hidden="1">
      <c r="A2" s="1271"/>
      <c r="B2" s="1271"/>
      <c r="C2" s="1271"/>
      <c r="D2" s="1271"/>
      <c r="E2" s="2293">
        <v>1</v>
      </c>
      <c r="F2" s="1271"/>
      <c r="G2" s="1271"/>
      <c r="H2" s="1271"/>
      <c r="I2" s="1271"/>
      <c r="J2" s="1271"/>
      <c r="K2" s="1271"/>
      <c r="L2" s="1314"/>
      <c r="M2" s="1614"/>
      <c r="N2" s="1614"/>
      <c r="O2" s="1614"/>
      <c r="P2" s="1413"/>
      <c r="Q2" s="877"/>
      <c r="R2" s="359"/>
      <c r="S2" s="1962">
        <f>INDEX(PT_DIFFERENTIATION_NUM_NTAR,MATCH(A2,PT_DIFFERENTIATION_NTAR_ID,0))</f>
      </c>
      <c r="T2" s="1529" t="s">
        <v>143</v>
      </c>
      <c r="U2" s="304"/>
      <c r="V2" s="2247"/>
      <c r="W2" s="2247"/>
      <c r="X2" s="2247"/>
      <c r="Y2" s="2247"/>
      <c r="Z2" s="2247"/>
      <c r="AA2" s="2248"/>
      <c r="AB2" s="1956"/>
      <c r="AC2" s="2247">
        <f>INDEX(PT_DIFFERENTIATION_NTAR,MATCH(A2,PT_DIFFERENTIATION_NTAR_ID,0))</f>
      </c>
      <c r="AD2" s="2247"/>
      <c r="AE2" s="2247"/>
      <c r="AF2" s="2247"/>
      <c r="AG2" s="2247"/>
      <c r="AH2" s="2247"/>
      <c r="AI2" s="2247"/>
      <c r="AJ2" s="2248"/>
      <c r="AK2" s="1262" t="s">
        <v>414</v>
      </c>
      <c r="AM2" s="1628"/>
      <c r="AN2" s="1628" t="str">
        <f>IF(T2="","",T2)</f>
        <v>Наименование тарифа</v>
      </c>
      <c r="AO2" s="1628"/>
      <c r="AP2" s="1628"/>
      <c r="AQ2" s="1635">
        <v>0</v>
      </c>
    </row>
    <row customHeight="1" ht="21" hidden="1">
      <c r="A3" s="1271"/>
      <c r="B3" s="1271"/>
      <c r="C3" s="1271"/>
      <c r="D3" s="1271"/>
      <c r="E3" s="2294"/>
      <c r="F3" s="2293">
        <v>1</v>
      </c>
      <c r="G3" s="1271"/>
      <c r="H3" s="1271"/>
      <c r="I3" s="1271"/>
      <c r="J3" s="1271"/>
      <c r="K3" s="1271"/>
      <c r="L3" s="1314"/>
      <c r="M3" s="1614"/>
      <c r="N3" s="1614"/>
      <c r="O3" s="1614"/>
      <c r="P3" s="1973"/>
      <c r="Q3" s="1415"/>
      <c r="R3" s="357"/>
      <c r="S3" s="1962">
        <f>INDEX(PT_DIFFERENTIATION_NUM_TER,MATCH(B3,PT_DIFFERENTIATION_TER_ID,0))</f>
      </c>
      <c r="T3" s="1526" t="s">
        <v>415</v>
      </c>
      <c r="U3" s="304"/>
      <c r="V3" s="2247"/>
      <c r="W3" s="2247"/>
      <c r="X3" s="2247"/>
      <c r="Y3" s="2247"/>
      <c r="Z3" s="2247"/>
      <c r="AA3" s="2248"/>
      <c r="AB3" s="1956"/>
      <c r="AC3" s="2247">
        <f>INDEX(PT_DIFFERENTIATION_TER,MATCH(B3,PT_DIFFERENTIATION_TER_ID,0))</f>
      </c>
      <c r="AD3" s="2247"/>
      <c r="AE3" s="2247"/>
      <c r="AF3" s="2247"/>
      <c r="AG3" s="2247"/>
      <c r="AH3" s="2247"/>
      <c r="AI3" s="2247"/>
      <c r="AJ3" s="2248"/>
      <c r="AK3" s="1262" t="s">
        <v>416</v>
      </c>
      <c r="AM3" s="1628"/>
      <c r="AN3" s="1628" t="str">
        <f>IF(T3="","",T3)</f>
        <v>Территория действия тарифа</v>
      </c>
      <c r="AO3" s="1628"/>
      <c r="AP3" s="1628"/>
      <c r="AQ3" s="1635">
        <v>0</v>
      </c>
    </row>
    <row customHeight="1" ht="22.5" hidden="1">
      <c r="A4" s="1271"/>
      <c r="B4" s="1271"/>
      <c r="C4" s="1271"/>
      <c r="D4" s="1271"/>
      <c r="E4" s="2294"/>
      <c r="F4" s="2294"/>
      <c r="G4" s="2293">
        <v>1</v>
      </c>
      <c r="H4" s="1271"/>
      <c r="I4" s="1271"/>
      <c r="J4" s="1271"/>
      <c r="K4" s="1271"/>
      <c r="L4" s="1314"/>
      <c r="M4" s="1614"/>
      <c r="N4" s="1614"/>
      <c r="O4" s="1614"/>
      <c r="P4" s="1416"/>
      <c r="Q4" s="1415"/>
      <c r="R4" s="357"/>
      <c r="S4" s="1962">
        <f>INDEX(PT_DIFFERENTIATION_NUM_CS,MATCH(C4,PT_DIFFERENTIATION_CS_ID,0))</f>
      </c>
      <c r="T4" s="313" t="s">
        <v>417</v>
      </c>
      <c r="U4" s="304"/>
      <c r="V4" s="2247"/>
      <c r="W4" s="2247"/>
      <c r="X4" s="2247"/>
      <c r="Y4" s="2247"/>
      <c r="Z4" s="2247"/>
      <c r="AA4" s="2248"/>
      <c r="AB4" s="1956"/>
      <c r="AC4" s="2247">
        <f>INDEX(PT_DIFFERENTIATION_CS,MATCH(C4,PT_DIFFERENTIATION_CS_ID,0))</f>
      </c>
      <c r="AD4" s="2247"/>
      <c r="AE4" s="2247"/>
      <c r="AF4" s="2247"/>
      <c r="AG4" s="2247"/>
      <c r="AH4" s="2247"/>
      <c r="AI4" s="2247"/>
      <c r="AJ4" s="2248"/>
      <c r="AK4" s="1262" t="s">
        <v>418</v>
      </c>
      <c r="AM4" s="1628"/>
      <c r="AN4" s="1628" t="str">
        <f>IF(T4="","",T4)</f>
        <v>Наименование системы теплоснабжения </v>
      </c>
      <c r="AO4" s="1628"/>
      <c r="AP4" s="1628"/>
      <c r="AQ4" s="1635">
        <v>0</v>
      </c>
    </row>
    <row customHeight="1" ht="21" hidden="1">
      <c r="A5" s="1271"/>
      <c r="B5" s="1271"/>
      <c r="C5" s="1271"/>
      <c r="D5" s="1271"/>
      <c r="E5" s="2294"/>
      <c r="F5" s="2294"/>
      <c r="G5" s="2294"/>
      <c r="H5" s="2293">
        <v>1</v>
      </c>
      <c r="I5" s="1271"/>
      <c r="J5" s="1271"/>
      <c r="K5" s="1271"/>
      <c r="L5" s="1314"/>
      <c r="M5" s="1614"/>
      <c r="N5" s="1614"/>
      <c r="O5" s="1614"/>
      <c r="P5" s="1416"/>
      <c r="Q5" s="1415"/>
      <c r="R5" s="357"/>
      <c r="S5" s="1962">
        <f>INDEX(PT_DIFFERENTIATION_NUM_IST_TE,MATCH(D5,PT_DIFFERENTIATION_IST_TE_ID,0))</f>
      </c>
      <c r="T5" s="314" t="s">
        <v>419</v>
      </c>
      <c r="U5" s="304"/>
      <c r="V5" s="2247"/>
      <c r="W5" s="2247"/>
      <c r="X5" s="2247"/>
      <c r="Y5" s="2247"/>
      <c r="Z5" s="2247"/>
      <c r="AA5" s="2248"/>
      <c r="AB5" s="1956"/>
      <c r="AC5" s="2247">
        <f>INDEX(PT_DIFFERENTIATION_IST_TE,MATCH(D5,PT_DIFFERENTIATION_IST_TE_ID,0))</f>
      </c>
      <c r="AD5" s="2247"/>
      <c r="AE5" s="2247"/>
      <c r="AF5" s="2247"/>
      <c r="AG5" s="2247"/>
      <c r="AH5" s="2247"/>
      <c r="AI5" s="2247"/>
      <c r="AJ5" s="2248"/>
      <c r="AK5" s="1262" t="s">
        <v>420</v>
      </c>
      <c r="AM5" s="1628"/>
      <c r="AN5" s="1628" t="str">
        <f>IF(T5="","",T5)</f>
        <v>Источник тепловой энергии  </v>
      </c>
      <c r="AO5" s="1628"/>
      <c r="AP5" s="1628"/>
      <c r="AQ5" s="1635">
        <v>0</v>
      </c>
    </row>
    <row s="1646" customFormat="1" customHeight="1" ht="0.75" hidden="1">
      <c r="A6" s="1379"/>
      <c r="B6" s="1379"/>
      <c r="C6" s="1379"/>
      <c r="D6" s="1379"/>
      <c r="E6" s="2294"/>
      <c r="F6" s="2294"/>
      <c r="G6" s="2294"/>
      <c r="H6" s="2294"/>
      <c r="I6" s="2131">
        <f>S5&amp;".1"</f>
      </c>
      <c r="J6" s="1379"/>
      <c r="K6" s="1379"/>
      <c r="L6" s="1385" t="s">
        <v>421</v>
      </c>
      <c r="M6" s="1250"/>
      <c r="N6" s="1250"/>
      <c r="O6" s="1250"/>
      <c r="P6" s="2261">
        <v>1</v>
      </c>
      <c r="Q6" s="1958"/>
      <c r="R6" s="360"/>
      <c r="S6" s="1046"/>
      <c r="T6" s="1387"/>
      <c r="U6" s="1388"/>
      <c r="V6" s="2301"/>
      <c r="W6" s="2301"/>
      <c r="X6" s="2301"/>
      <c r="Y6" s="2301"/>
      <c r="Z6" s="2301"/>
      <c r="AA6" s="2302"/>
      <c r="AB6" s="1964"/>
      <c r="AC6" s="2301"/>
      <c r="AD6" s="2301"/>
      <c r="AE6" s="2301"/>
      <c r="AF6" s="2301"/>
      <c r="AG6" s="2301"/>
      <c r="AH6" s="2301"/>
      <c r="AI6" s="2301"/>
      <c r="AJ6" s="2302"/>
      <c r="AK6" s="1389"/>
      <c r="AM6" s="1628"/>
      <c r="AN6" s="1628" t="str">
        <f>IF(T6="","",T6)</f>
        <v/>
      </c>
      <c r="AO6" s="1628"/>
      <c r="AP6" s="1628"/>
      <c r="AQ6" s="1640">
        <v>0</v>
      </c>
    </row>
    <row s="1646" customFormat="1" customHeight="1" ht="0.75" hidden="1">
      <c r="A7" s="1379"/>
      <c r="B7" s="1379"/>
      <c r="C7" s="1379"/>
      <c r="D7" s="1379"/>
      <c r="E7" s="2294"/>
      <c r="F7" s="2294"/>
      <c r="G7" s="2294"/>
      <c r="H7" s="2294"/>
      <c r="I7" s="2105"/>
      <c r="J7" s="2131">
        <f>S5&amp;".1"</f>
      </c>
      <c r="K7" s="1379"/>
      <c r="L7" s="1385"/>
      <c r="M7" s="1250"/>
      <c r="N7" s="1250"/>
      <c r="O7" s="1250"/>
      <c r="P7" s="2261"/>
      <c r="Q7" s="2261">
        <v>1</v>
      </c>
      <c r="R7" s="361"/>
      <c r="S7" s="1046"/>
      <c r="T7" s="1403"/>
      <c r="U7" s="1388"/>
      <c r="V7" s="2301"/>
      <c r="W7" s="2301"/>
      <c r="X7" s="2301"/>
      <c r="Y7" s="2301"/>
      <c r="Z7" s="2301"/>
      <c r="AA7" s="2302"/>
      <c r="AB7" s="1964"/>
      <c r="AC7" s="2301"/>
      <c r="AD7" s="2301"/>
      <c r="AE7" s="2301"/>
      <c r="AF7" s="2301"/>
      <c r="AG7" s="2301"/>
      <c r="AH7" s="2301"/>
      <c r="AI7" s="2301"/>
      <c r="AJ7" s="2302"/>
      <c r="AK7" s="1389"/>
      <c r="AM7" s="1628"/>
      <c r="AN7" s="1628" t="str">
        <f>IF(T7="","",T7)</f>
        <v/>
      </c>
      <c r="AO7" s="1628"/>
      <c r="AP7" s="1628"/>
      <c r="AQ7" s="1640">
        <v>0</v>
      </c>
    </row>
    <row customHeight="1" ht="21" hidden="1">
      <c r="A8" s="1271"/>
      <c r="B8" s="1271"/>
      <c r="C8" s="1271"/>
      <c r="D8" s="1271"/>
      <c r="E8" s="2294"/>
      <c r="F8" s="2294"/>
      <c r="G8" s="2294"/>
      <c r="H8" s="2294"/>
      <c r="I8" s="2105"/>
      <c r="J8" s="2105"/>
      <c r="K8" s="1995">
        <f>S5&amp;".1"</f>
      </c>
      <c r="L8" s="1314"/>
      <c r="P8" s="2261"/>
      <c r="Q8" s="2261"/>
      <c r="R8" s="1999">
        <v>1</v>
      </c>
      <c r="S8" s="1997">
        <f>$K8</f>
      </c>
      <c r="T8" s="1998"/>
      <c r="U8" s="304"/>
      <c r="V8" s="755"/>
      <c r="W8" s="1261"/>
      <c r="X8" s="1996"/>
      <c r="Y8" s="1994" t="s">
        <v>62</v>
      </c>
      <c r="Z8" s="1996"/>
      <c r="AA8" s="1994" t="s">
        <v>62</v>
      </c>
      <c r="AB8" s="2000"/>
      <c r="AC8" s="2001" t="s">
        <v>22</v>
      </c>
      <c r="AD8" s="755"/>
      <c r="AE8" s="1261"/>
      <c r="AF8" s="1959"/>
      <c r="AG8" s="1946" t="s">
        <v>62</v>
      </c>
      <c r="AH8" s="1959"/>
      <c r="AI8" s="1946" t="s">
        <v>62</v>
      </c>
      <c r="AJ8" s="1352"/>
      <c r="AK8" s="2257" t="s">
        <v>482</v>
      </c>
      <c r="AL8" s="1640">
        <f>STRCHECKDATE(#REF!)</f>
      </c>
      <c r="AM8" s="1628"/>
      <c r="AN8" s="1628" t="str">
        <f>IF(T8="","",T8)</f>
        <v/>
      </c>
      <c r="AO8" s="1628"/>
      <c r="AP8" s="1628"/>
      <c r="AQ8" s="1635">
        <v>0</v>
      </c>
    </row>
    <row customHeight="1" ht="11.25" hidden="1">
      <c r="A9" s="1271"/>
      <c r="B9" s="1271"/>
      <c r="C9" s="1271"/>
      <c r="D9" s="1271"/>
      <c r="E9" s="2294"/>
      <c r="F9" s="2294"/>
      <c r="G9" s="2294"/>
      <c r="H9" s="2294"/>
      <c r="I9" s="2105"/>
      <c r="J9" s="2131"/>
      <c r="K9" s="1271"/>
      <c r="L9" s="1314"/>
      <c r="P9" s="2261"/>
      <c r="Q9" s="2261"/>
      <c r="R9" s="360"/>
      <c r="S9" s="1282"/>
      <c r="T9" s="291" t="s">
        <v>486</v>
      </c>
      <c r="U9" s="604"/>
      <c r="V9" s="604"/>
      <c r="W9" s="604"/>
      <c r="X9" s="604"/>
      <c r="Y9" s="604"/>
      <c r="Z9" s="604"/>
      <c r="AA9" s="604"/>
      <c r="AB9" s="604"/>
      <c r="AC9" s="604"/>
      <c r="AD9" s="604"/>
      <c r="AE9" s="604"/>
      <c r="AF9" s="604"/>
      <c r="AG9" s="604"/>
      <c r="AH9" s="604"/>
      <c r="AI9" s="604"/>
      <c r="AJ9" s="328"/>
      <c r="AK9" s="2259"/>
      <c r="AM9" s="1628"/>
      <c r="AN9" s="1628" t="str">
        <f>IF(T9="","",T9)</f>
        <v>Добавить строку</v>
      </c>
      <c r="AO9" s="1628"/>
      <c r="AP9" s="1628"/>
      <c r="AQ9" s="1635">
        <v>0</v>
      </c>
    </row>
    <row s="1646" customFormat="1" customHeight="1" ht="0.75" hidden="1">
      <c r="A10" s="1379"/>
      <c r="B10" s="1379"/>
      <c r="C10" s="1379"/>
      <c r="D10" s="1379"/>
      <c r="E10" s="2294"/>
      <c r="F10" s="2294"/>
      <c r="G10" s="2294"/>
      <c r="H10" s="2294"/>
      <c r="I10" s="2131"/>
      <c r="J10" s="1379"/>
      <c r="K10" s="1379"/>
      <c r="L10" s="1385"/>
      <c r="M10" s="1250"/>
      <c r="N10" s="1250"/>
      <c r="O10" s="1250"/>
      <c r="P10" s="2261"/>
      <c r="Q10" s="1958"/>
      <c r="R10" s="360"/>
      <c r="S10" s="1390"/>
      <c r="T10" s="1391"/>
      <c r="U10" s="1392"/>
      <c r="V10" s="1392"/>
      <c r="W10" s="1392"/>
      <c r="X10" s="1392"/>
      <c r="Y10" s="1392"/>
      <c r="Z10" s="1392"/>
      <c r="AA10" s="1392"/>
      <c r="AB10" s="1392"/>
      <c r="AC10" s="1392"/>
      <c r="AD10" s="1392"/>
      <c r="AE10" s="1392"/>
      <c r="AF10" s="1392"/>
      <c r="AG10" s="1392"/>
      <c r="AH10" s="1392"/>
      <c r="AI10" s="1392"/>
      <c r="AJ10" s="1392"/>
      <c r="AK10" s="1393"/>
      <c r="AM10" s="1628"/>
      <c r="AN10" s="1628" t="str">
        <f>IF(T10="","",T10)</f>
        <v/>
      </c>
      <c r="AO10" s="1628"/>
      <c r="AP10" s="1628"/>
      <c r="AQ10" s="1640">
        <v>0</v>
      </c>
    </row>
    <row s="1646" customFormat="1" customHeight="1" ht="0.75" hidden="1">
      <c r="A11" s="1379"/>
      <c r="B11" s="1379"/>
      <c r="C11" s="1379"/>
      <c r="D11" s="1379"/>
      <c r="E11" s="2294"/>
      <c r="F11" s="2294"/>
      <c r="G11" s="2294"/>
      <c r="H11" s="2293"/>
      <c r="I11" s="1379"/>
      <c r="J11" s="1379"/>
      <c r="K11" s="1379"/>
      <c r="L11" s="1385"/>
      <c r="M11" s="1382"/>
      <c r="N11" s="1382"/>
      <c r="O11" s="355"/>
      <c r="P11" s="384"/>
      <c r="Q11" s="1348"/>
      <c r="R11" s="1405"/>
      <c r="S11" s="1390"/>
      <c r="T11" s="1391"/>
      <c r="U11" s="1392"/>
      <c r="V11" s="1392"/>
      <c r="W11" s="1392"/>
      <c r="X11" s="1392"/>
      <c r="Y11" s="1392"/>
      <c r="Z11" s="1392"/>
      <c r="AA11" s="1392"/>
      <c r="AB11" s="1392"/>
      <c r="AC11" s="1392"/>
      <c r="AD11" s="1392"/>
      <c r="AE11" s="1392"/>
      <c r="AF11" s="1392"/>
      <c r="AG11" s="1392"/>
      <c r="AH11" s="1392"/>
      <c r="AI11" s="1392"/>
      <c r="AJ11" s="1392"/>
      <c r="AK11" s="1393"/>
      <c r="AM11" s="1628"/>
      <c r="AN11" s="1628" t="str">
        <f>IF(T11="","",T11)</f>
        <v/>
      </c>
      <c r="AO11" s="1628"/>
      <c r="AP11" s="1628"/>
      <c r="AQ11" s="1640">
        <v>0</v>
      </c>
    </row>
    <row s="1646" customFormat="1" customHeight="1" ht="0.75" hidden="1">
      <c r="A12" s="1379"/>
      <c r="B12" s="1379"/>
      <c r="C12" s="1379"/>
      <c r="D12" s="1378"/>
      <c r="E12" s="2294"/>
      <c r="F12" s="2294"/>
      <c r="G12" s="2293"/>
      <c r="H12" s="1378"/>
      <c r="I12" s="1378"/>
      <c r="J12" s="1378"/>
      <c r="K12" s="1378"/>
      <c r="L12" s="1381"/>
      <c r="M12" s="1382"/>
      <c r="N12" s="1382"/>
      <c r="O12" s="355"/>
      <c r="P12" s="1320"/>
      <c r="Q12" s="1321"/>
      <c r="R12" s="1320"/>
      <c r="S12" s="1326"/>
      <c r="T12" s="1329" t="s">
        <v>432</v>
      </c>
      <c r="U12" s="1328"/>
      <c r="V12" s="1328"/>
      <c r="W12" s="1328"/>
      <c r="X12" s="1328"/>
      <c r="Y12" s="1328"/>
      <c r="Z12" s="1328"/>
      <c r="AA12" s="1328"/>
      <c r="AB12" s="1328"/>
      <c r="AC12" s="1328"/>
      <c r="AD12" s="1328"/>
      <c r="AE12" s="1328"/>
      <c r="AF12" s="1328"/>
      <c r="AG12" s="1328"/>
      <c r="AH12" s="1328"/>
      <c r="AI12" s="1328"/>
      <c r="AJ12" s="1328"/>
      <c r="AK12" s="1328"/>
      <c r="AM12" s="1255"/>
      <c r="AN12" s="1255" t="str">
        <f>IF(T12="","",T12)</f>
        <v>Добавить источник для дифференциации</v>
      </c>
      <c r="AO12" s="1255"/>
      <c r="AP12" s="1255"/>
      <c r="AQ12" s="1646">
        <v>0</v>
      </c>
    </row>
    <row s="1646" customFormat="1" customHeight="1" ht="0.75" hidden="1">
      <c r="A13" s="1379"/>
      <c r="B13" s="1379"/>
      <c r="C13" s="1378"/>
      <c r="D13" s="1378"/>
      <c r="E13" s="2294"/>
      <c r="F13" s="2293"/>
      <c r="G13" s="1378"/>
      <c r="H13" s="1378"/>
      <c r="I13" s="1378"/>
      <c r="J13" s="1378"/>
      <c r="K13" s="1378"/>
      <c r="L13" s="1381"/>
      <c r="M13" s="1383"/>
      <c r="N13" s="1383"/>
      <c r="O13" s="355"/>
      <c r="P13" s="1320"/>
      <c r="Q13" s="1321"/>
      <c r="R13" s="1320"/>
      <c r="S13" s="1326"/>
      <c r="T13" s="1329" t="s">
        <v>433</v>
      </c>
      <c r="U13" s="1328"/>
      <c r="V13" s="1328"/>
      <c r="W13" s="1328"/>
      <c r="X13" s="1328"/>
      <c r="Y13" s="1328"/>
      <c r="Z13" s="1328"/>
      <c r="AA13" s="1328"/>
      <c r="AB13" s="1328"/>
      <c r="AC13" s="1328"/>
      <c r="AD13" s="1328"/>
      <c r="AE13" s="1328"/>
      <c r="AF13" s="1328"/>
      <c r="AG13" s="1328"/>
      <c r="AH13" s="1328"/>
      <c r="AI13" s="1328"/>
      <c r="AJ13" s="1328"/>
      <c r="AK13" s="1328"/>
      <c r="AM13" s="1255"/>
      <c r="AN13" s="1255" t="str">
        <f>IF(T13="","",T13)</f>
        <v>Добавить централизованную систему для дифференциации</v>
      </c>
      <c r="AO13" s="1255"/>
      <c r="AP13" s="1255"/>
      <c r="AQ13" s="1646">
        <v>0</v>
      </c>
    </row>
    <row s="1646" customFormat="1" customHeight="1" ht="0.75" hidden="1">
      <c r="A14" s="1379"/>
      <c r="B14" s="1379"/>
      <c r="C14" s="1379"/>
      <c r="D14" s="1379"/>
      <c r="E14" s="2293"/>
      <c r="F14" s="1379"/>
      <c r="G14" s="1379"/>
      <c r="H14" s="1379"/>
      <c r="I14" s="1379"/>
      <c r="J14" s="1379"/>
      <c r="K14" s="1379"/>
      <c r="L14" s="1385"/>
      <c r="M14" s="1383"/>
      <c r="N14" s="1383"/>
      <c r="O14" s="355"/>
      <c r="P14" s="384"/>
      <c r="Q14" s="1348"/>
      <c r="R14" s="384"/>
      <c r="S14" s="1326"/>
      <c r="T14" s="1329" t="s">
        <v>434</v>
      </c>
      <c r="U14" s="1328"/>
      <c r="V14" s="1328"/>
      <c r="W14" s="1328"/>
      <c r="X14" s="1328"/>
      <c r="Y14" s="1328"/>
      <c r="Z14" s="1328"/>
      <c r="AA14" s="1328"/>
      <c r="AB14" s="1328"/>
      <c r="AC14" s="1328"/>
      <c r="AD14" s="1328"/>
      <c r="AE14" s="1328"/>
      <c r="AF14" s="1328"/>
      <c r="AG14" s="1328"/>
      <c r="AH14" s="1328"/>
      <c r="AI14" s="1328"/>
      <c r="AJ14" s="1328"/>
      <c r="AK14" s="1328"/>
      <c r="AM14" s="1628"/>
      <c r="AN14" s="1628" t="str">
        <f>IF(T14="","",T14)</f>
        <v>Добавить территорию для дифференциации</v>
      </c>
      <c r="AO14" s="1628"/>
      <c r="AP14" s="1628"/>
      <c r="AQ14" s="1640">
        <v>0</v>
      </c>
    </row>
    <row customHeight="1" ht="14.25" hidden="1">
      <c r="AQ15" s="1635">
        <v>0</v>
      </c>
    </row>
    <row customHeight="1" ht="14.25" hidden="1">
      <c r="AC16" s="1506"/>
      <c r="AD16" s="1407"/>
      <c r="AE16" s="1408"/>
      <c r="AF16" s="1740"/>
      <c r="AG16" s="1970" t="s">
        <v>62</v>
      </c>
      <c r="AH16" s="1740"/>
      <c r="AI16" s="1970" t="s">
        <v>62</v>
      </c>
      <c r="AQ16" s="1635">
        <v>0</v>
      </c>
    </row>
    <row customHeight="1" ht="14.25" hidden="1">
      <c r="AL17" s="1645"/>
      <c r="AM17" s="1645"/>
      <c r="AN17" s="1645"/>
      <c r="AO17" s="1645"/>
      <c r="AP17" s="1645"/>
      <c r="AQ17" s="1635">
        <v>0</v>
      </c>
    </row>
    <row customHeight="1" ht="14.25" hidden="1">
      <c r="O18" s="1349" t="s">
        <v>435</v>
      </c>
      <c r="X18" s="1349"/>
      <c r="Z18" s="1349"/>
      <c r="AF18" s="1349"/>
      <c r="AH18" s="1349"/>
      <c r="AL18" s="1645"/>
      <c r="AM18" s="1645"/>
      <c r="AN18" s="1645"/>
      <c r="AO18" s="1645"/>
      <c r="AP18" s="1645"/>
      <c r="AQ18" s="1635">
        <v>0</v>
      </c>
    </row>
    <row customHeight="1" ht="14.25" hidden="1">
      <c r="AL19" s="1645"/>
      <c r="AM19" s="1645"/>
      <c r="AN19" s="1645"/>
      <c r="AO19" s="1645"/>
      <c r="AP19" s="1645"/>
      <c r="AQ19" s="1635">
        <v>0</v>
      </c>
    </row>
    <row s="1513" customFormat="1" customHeight="1" ht="14.25" hidden="1">
      <c r="A20" s="1975"/>
      <c r="B20" s="1975"/>
      <c r="C20" s="1975"/>
      <c r="D20" s="1975"/>
      <c r="E20" s="1975"/>
      <c r="F20" s="1975"/>
      <c r="G20" s="1975"/>
      <c r="H20" s="1975"/>
      <c r="I20" s="1975"/>
      <c r="J20" s="1975"/>
      <c r="K20" s="1975"/>
      <c r="L20" s="1975"/>
      <c r="M20" s="1976"/>
      <c r="N20" s="1976"/>
      <c r="O20" s="1977" t="s">
        <v>436</v>
      </c>
      <c r="P20" s="1512"/>
      <c r="Q20" s="1514"/>
      <c r="R20" s="1514"/>
      <c r="Y20" s="1511" t="s">
        <v>438</v>
      </c>
      <c r="AA20" s="1511" t="s">
        <v>439</v>
      </c>
      <c r="AC20" s="1511" t="s">
        <v>488</v>
      </c>
      <c r="AG20" s="1511" t="s">
        <v>438</v>
      </c>
      <c r="AI20" s="1511" t="s">
        <v>439</v>
      </c>
      <c r="AL20" s="1515"/>
      <c r="AM20" s="1515"/>
      <c r="AN20" s="1515"/>
      <c r="AO20" s="1515"/>
      <c r="AP20" s="1515"/>
      <c r="AQ20" s="1511">
        <v>0</v>
      </c>
    </row>
    <row customHeight="1" ht="14.25" hidden="1">
      <c r="O21" s="1314"/>
      <c r="AL21" s="1645"/>
      <c r="AM21" s="1645"/>
      <c r="AN21" s="1645"/>
      <c r="AO21" s="1645"/>
      <c r="AP21" s="1645"/>
      <c r="AQ21" s="1635">
        <v>0</v>
      </c>
    </row>
    <row customHeight="1" ht="14.25" hidden="1">
      <c r="O22" s="1314"/>
      <c r="AL22" s="1645"/>
      <c r="AM22" s="1645"/>
      <c r="AN22" s="1645"/>
      <c r="AO22" s="1645"/>
      <c r="AP22" s="1645"/>
      <c r="AQ22" s="1635">
        <v>0</v>
      </c>
    </row>
    <row customHeight="1" ht="14.699999999999998">
      <c r="Q23" s="295"/>
      <c r="R23" s="380"/>
      <c r="S23" s="1279"/>
      <c r="T23" s="461"/>
      <c r="U23" s="461"/>
      <c r="V23" s="1639"/>
      <c r="W23" s="1639"/>
      <c r="X23" s="1639"/>
      <c r="Y23" s="1639"/>
      <c r="Z23" s="1639"/>
      <c r="AA23" s="1639"/>
      <c r="AB23" s="1639"/>
      <c r="AC23" s="1639"/>
      <c r="AD23" s="1639"/>
      <c r="AE23" s="1639"/>
      <c r="AF23" s="1639"/>
      <c r="AG23" s="1639"/>
      <c r="AH23" s="1639"/>
      <c r="AI23" s="1639"/>
      <c r="AQ23" s="1635">
        <v>14</v>
      </c>
    </row>
    <row customHeight="1" ht="39.75">
      <c r="Q24" s="295"/>
      <c r="R24" s="380"/>
      <c r="S24"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2"/>
      <c r="U24" s="2252"/>
      <c r="V24" s="2252"/>
      <c r="W24" s="2252"/>
      <c r="X24" s="2252"/>
      <c r="Y24" s="2252"/>
      <c r="Z24" s="2252"/>
      <c r="AA24" s="2252"/>
      <c r="AB24" s="2252"/>
      <c r="AC24" s="2252"/>
      <c r="AD24" s="2252"/>
      <c r="AE24" s="2252"/>
      <c r="AF24" s="2252"/>
      <c r="AG24" s="2252"/>
      <c r="AH24" s="2252"/>
      <c r="AI24" s="1247"/>
      <c r="AQ24" s="1635">
        <v>38</v>
      </c>
    </row>
    <row customHeight="1" ht="14.699999999999998">
      <c r="Q25" s="295"/>
      <c r="R25" s="380"/>
      <c r="S25" s="2253" t="str">
        <f>IF(org=0,"Не определено",org)</f>
        <v>АО "Теплоэнерго"</v>
      </c>
      <c r="T25" s="2253"/>
      <c r="U25" s="2253"/>
      <c r="V25" s="2253"/>
      <c r="W25" s="2253"/>
      <c r="X25" s="2253"/>
      <c r="Y25" s="2253"/>
      <c r="Z25" s="2253"/>
      <c r="AA25" s="2253"/>
      <c r="AB25" s="2253"/>
      <c r="AC25" s="2253"/>
      <c r="AD25" s="2253"/>
      <c r="AE25" s="2253"/>
      <c r="AF25" s="2253"/>
      <c r="AG25" s="2253"/>
      <c r="AH25" s="2253"/>
      <c r="AI25" s="1247"/>
      <c r="AQ25" s="1635">
        <v>14</v>
      </c>
    </row>
    <row customHeight="1" ht="14.25" hidden="1">
      <c r="Q26" s="295"/>
      <c r="R26" s="380"/>
      <c r="S26" s="1279"/>
      <c r="T26" s="461"/>
      <c r="U26" s="461"/>
      <c r="V26" s="326"/>
      <c r="W26" s="326"/>
      <c r="X26" s="326"/>
      <c r="Y26" s="326"/>
      <c r="Z26" s="326"/>
      <c r="AA26" s="326"/>
      <c r="AB26" s="326"/>
      <c r="AC26" s="326"/>
      <c r="AD26" s="326"/>
      <c r="AE26" s="326"/>
      <c r="AF26" s="326"/>
      <c r="AG26" s="326"/>
      <c r="AH26" s="326"/>
      <c r="AI26" s="326"/>
      <c r="AJ26" s="1639"/>
      <c r="AQ26" s="1635">
        <v>0</v>
      </c>
    </row>
    <row s="1857" customFormat="1" customHeight="1" ht="25.5" hidden="1">
      <c r="A27" s="1252"/>
      <c r="B27" s="1252"/>
      <c r="C27" s="1252"/>
      <c r="D27" s="1252"/>
      <c r="E27" s="1252"/>
      <c r="F27" s="1252"/>
      <c r="G27" s="1252"/>
      <c r="H27" s="1252"/>
      <c r="I27" s="1252"/>
      <c r="J27" s="1252"/>
      <c r="K27" s="1252"/>
      <c r="L27" s="1384"/>
      <c r="M27" s="1252"/>
      <c r="N27" s="1252"/>
      <c r="O27" s="1252"/>
      <c r="P27" s="1372"/>
      <c r="Q27" s="1372"/>
      <c r="S27" s="2254" t="s">
        <v>41</v>
      </c>
      <c r="T27" s="2254"/>
      <c r="U27" s="1376"/>
      <c r="V27" s="2255" t="str">
        <f>IF(TITLE_NAME_OR_PR_CHANGE="",IF(TITLE_NAME_OR_PR="","",TITLE_NAME_OR_PR),TITLE_NAME_OR_PR_CHANGE)</f>
        <v/>
      </c>
      <c r="W27" s="2255"/>
      <c r="X27" s="2255"/>
      <c r="Y27" s="2255"/>
      <c r="Z27" s="2255"/>
      <c r="AA27" s="1639"/>
      <c r="AB27" s="1639"/>
      <c r="AC27" s="2255"/>
      <c r="AD27" s="2255"/>
      <c r="AE27" s="2255"/>
      <c r="AF27" s="2255"/>
      <c r="AG27" s="2255"/>
      <c r="AH27" s="2255"/>
      <c r="AI27" s="1639"/>
      <c r="AJ27" s="1639"/>
      <c r="AK27" s="284"/>
      <c r="AL27" s="372"/>
      <c r="AM27" s="372"/>
      <c r="AN27" s="372"/>
      <c r="AO27" s="372"/>
      <c r="AP27" s="372"/>
      <c r="AQ27" s="422">
        <v>0</v>
      </c>
    </row>
    <row s="1857" customFormat="1" customHeight="1" ht="18.75" hidden="1">
      <c r="A28" s="1252"/>
      <c r="B28" s="1252"/>
      <c r="C28" s="1252"/>
      <c r="D28" s="1252"/>
      <c r="E28" s="1252"/>
      <c r="F28" s="1252"/>
      <c r="G28" s="1252"/>
      <c r="H28" s="1252"/>
      <c r="I28" s="1252"/>
      <c r="J28" s="1252"/>
      <c r="K28" s="1252"/>
      <c r="L28" s="1384"/>
      <c r="M28" s="1252"/>
      <c r="N28" s="1252"/>
      <c r="O28" s="1252"/>
      <c r="P28" s="1372"/>
      <c r="Q28" s="1372"/>
      <c r="S28" s="2254" t="s">
        <v>441</v>
      </c>
      <c r="T28" s="2254"/>
      <c r="U28" s="1376"/>
      <c r="V28" s="2268" t="str">
        <f>IF(TITLE_DATE_PR_CHANGE="",IF(TITLE_DATE_PR="","",TITLE_DATE_PR),TITLE_DATE_PR_CHANGE)</f>
        <v/>
      </c>
      <c r="W28" s="2268"/>
      <c r="X28" s="2268"/>
      <c r="Y28" s="2268"/>
      <c r="Z28" s="2268"/>
      <c r="AA28" s="1639"/>
      <c r="AB28" s="1639"/>
      <c r="AC28" s="2268"/>
      <c r="AD28" s="2268"/>
      <c r="AE28" s="2268"/>
      <c r="AF28" s="2268"/>
      <c r="AG28" s="2268"/>
      <c r="AH28" s="2268"/>
      <c r="AI28" s="1639"/>
      <c r="AJ28" s="1639"/>
      <c r="AK28" s="284"/>
      <c r="AL28" s="372"/>
      <c r="AM28" s="372"/>
      <c r="AN28" s="372"/>
      <c r="AO28" s="372"/>
      <c r="AP28" s="372"/>
      <c r="AQ28" s="422">
        <v>0</v>
      </c>
    </row>
    <row s="1857" customFormat="1" customHeight="1" ht="18.75" hidden="1">
      <c r="A29" s="1252"/>
      <c r="B29" s="1252"/>
      <c r="C29" s="1252"/>
      <c r="D29" s="1252"/>
      <c r="E29" s="1252"/>
      <c r="F29" s="1252"/>
      <c r="G29" s="1252"/>
      <c r="H29" s="1252"/>
      <c r="I29" s="1252"/>
      <c r="J29" s="1252"/>
      <c r="K29" s="1252"/>
      <c r="L29" s="1384"/>
      <c r="M29" s="1252"/>
      <c r="N29" s="1252"/>
      <c r="O29" s="1252"/>
      <c r="P29" s="1372"/>
      <c r="Q29" s="1372"/>
      <c r="S29" s="2254" t="s">
        <v>442</v>
      </c>
      <c r="T29" s="2254"/>
      <c r="U29" s="1376"/>
      <c r="V29" s="2255" t="str">
        <f>IF(TITLE_NUMBER_PR_CHANGE="",IF(TITLE_NUMBER_PR="","",TITLE_NUMBER_PR),TITLE_NUMBER_PR_CHANGE)</f>
        <v/>
      </c>
      <c r="W29" s="2255"/>
      <c r="X29" s="2255"/>
      <c r="Y29" s="2255"/>
      <c r="Z29" s="2255"/>
      <c r="AA29" s="1639"/>
      <c r="AB29" s="1639"/>
      <c r="AC29" s="2255"/>
      <c r="AD29" s="2255"/>
      <c r="AE29" s="2255"/>
      <c r="AF29" s="2255"/>
      <c r="AG29" s="2255"/>
      <c r="AH29" s="2255"/>
      <c r="AI29" s="1639"/>
      <c r="AJ29" s="1639"/>
      <c r="AK29" s="284"/>
      <c r="AL29" s="372"/>
      <c r="AM29" s="372"/>
      <c r="AN29" s="372"/>
      <c r="AO29" s="372"/>
      <c r="AP29" s="372"/>
      <c r="AQ29" s="422">
        <v>0</v>
      </c>
    </row>
    <row s="1857" customFormat="1" customHeight="1" ht="18.75" hidden="1">
      <c r="A30" s="1252"/>
      <c r="B30" s="1252"/>
      <c r="C30" s="1252"/>
      <c r="D30" s="1252"/>
      <c r="E30" s="1252"/>
      <c r="F30" s="1252"/>
      <c r="G30" s="1252"/>
      <c r="H30" s="1252"/>
      <c r="I30" s="1252"/>
      <c r="J30" s="1252"/>
      <c r="K30" s="1252"/>
      <c r="L30" s="1384"/>
      <c r="M30" s="1252"/>
      <c r="N30" s="1252"/>
      <c r="O30" s="1252"/>
      <c r="P30" s="1372"/>
      <c r="Q30" s="1372"/>
      <c r="S30" s="2254" t="s">
        <v>42</v>
      </c>
      <c r="T30" s="2254"/>
      <c r="U30" s="1376"/>
      <c r="V30" s="2255" t="str">
        <f>IF(TITLE_IST_PUB_CHANGE="",IF(TITLE_IST_PUB="","",TITLE_IST_PUB),TITLE_IST_PUB_CHANGE)</f>
        <v/>
      </c>
      <c r="W30" s="2255"/>
      <c r="X30" s="2255"/>
      <c r="Y30" s="2255"/>
      <c r="Z30" s="2255"/>
      <c r="AA30" s="1639"/>
      <c r="AB30" s="1639"/>
      <c r="AC30" s="2255"/>
      <c r="AD30" s="2255"/>
      <c r="AE30" s="2255"/>
      <c r="AF30" s="2255"/>
      <c r="AG30" s="2255"/>
      <c r="AH30" s="2255"/>
      <c r="AI30" s="1639"/>
      <c r="AJ30" s="1639"/>
      <c r="AK30" s="284"/>
      <c r="AL30" s="372"/>
      <c r="AM30" s="372"/>
      <c r="AN30" s="372"/>
      <c r="AO30" s="372"/>
      <c r="AP30" s="372"/>
      <c r="AQ30" s="422">
        <v>0</v>
      </c>
    </row>
    <row customHeight="1" ht="14.25" hidden="1">
      <c r="Q31" s="295"/>
      <c r="R31" s="380"/>
      <c r="S31" s="1279"/>
      <c r="T31" s="461"/>
      <c r="U31" s="461"/>
      <c r="V31" s="326"/>
      <c r="W31" s="326"/>
      <c r="X31" s="326"/>
      <c r="Y31" s="326"/>
      <c r="Z31" s="326"/>
      <c r="AA31" s="326"/>
      <c r="AB31" s="326"/>
      <c r="AC31" s="326"/>
      <c r="AD31" s="326"/>
      <c r="AE31" s="326"/>
      <c r="AF31" s="326"/>
      <c r="AG31" s="326"/>
      <c r="AH31" s="326"/>
      <c r="AI31" s="326"/>
      <c r="AJ31" s="1639"/>
      <c r="AQ31" s="1635">
        <v>0</v>
      </c>
    </row>
    <row s="1857" customFormat="1" customHeight="1" ht="18.75" hidden="1">
      <c r="A32" s="1252"/>
      <c r="B32" s="1252"/>
      <c r="C32" s="1252"/>
      <c r="D32" s="1252"/>
      <c r="E32" s="1252"/>
      <c r="F32" s="1252"/>
      <c r="G32" s="1252"/>
      <c r="H32" s="1252"/>
      <c r="I32" s="1252"/>
      <c r="J32" s="1252"/>
      <c r="K32" s="1252"/>
      <c r="L32" s="1384"/>
      <c r="M32" s="1252"/>
      <c r="N32" s="1252"/>
      <c r="O32" s="1252"/>
      <c r="P32" s="1372"/>
      <c r="Q32" s="1372"/>
      <c r="S32" s="2254" t="s">
        <v>441</v>
      </c>
      <c r="T32" s="2254"/>
      <c r="U32" s="1376"/>
      <c r="V32" s="2268" t="str">
        <f>IF(TITLE_DATE_PR_CHANGE="",IF(TITLE_DATE_PR="","",TITLE_DATE_PR),TITLE_DATE_PR_CHANGE)</f>
        <v/>
      </c>
      <c r="W32" s="2268"/>
      <c r="X32" s="2268"/>
      <c r="Y32" s="2268"/>
      <c r="Z32" s="2268"/>
      <c r="AA32" s="1639"/>
      <c r="AB32" s="1639"/>
      <c r="AC32" s="2268"/>
      <c r="AD32" s="2268"/>
      <c r="AE32" s="2268"/>
      <c r="AF32" s="2268"/>
      <c r="AG32" s="2268"/>
      <c r="AH32" s="2268"/>
      <c r="AI32" s="1639"/>
      <c r="AJ32" s="1639"/>
      <c r="AK32" s="284"/>
      <c r="AL32" s="372"/>
      <c r="AM32" s="372"/>
      <c r="AN32" s="372"/>
      <c r="AO32" s="372"/>
      <c r="AP32" s="372"/>
      <c r="AQ32" s="422">
        <v>0</v>
      </c>
    </row>
    <row s="1857" customFormat="1" customHeight="1" ht="18" hidden="1">
      <c r="A33" s="1252"/>
      <c r="B33" s="1252"/>
      <c r="C33" s="1252"/>
      <c r="D33" s="1252"/>
      <c r="E33" s="1252"/>
      <c r="F33" s="1252"/>
      <c r="G33" s="1252"/>
      <c r="H33" s="1252"/>
      <c r="I33" s="1252"/>
      <c r="J33" s="1252"/>
      <c r="K33" s="1252"/>
      <c r="L33" s="1384"/>
      <c r="M33" s="1252"/>
      <c r="N33" s="1252"/>
      <c r="O33" s="1252"/>
      <c r="P33" s="1372"/>
      <c r="Q33" s="1372"/>
      <c r="S33" s="2254" t="s">
        <v>442</v>
      </c>
      <c r="T33" s="2254"/>
      <c r="U33" s="1376"/>
      <c r="V33" s="2255" t="str">
        <f>IF(TITLE_NUMBER_PR_CHANGE="",IF(TITLE_NUMBER_PR="","",TITLE_NUMBER_PR),TITLE_NUMBER_PR_CHANGE)</f>
        <v/>
      </c>
      <c r="W33" s="2255"/>
      <c r="X33" s="2255"/>
      <c r="Y33" s="2255"/>
      <c r="Z33" s="2255"/>
      <c r="AA33" s="1639"/>
      <c r="AB33" s="1639"/>
      <c r="AC33" s="2255"/>
      <c r="AD33" s="2255"/>
      <c r="AE33" s="2255"/>
      <c r="AF33" s="2255"/>
      <c r="AG33" s="2255"/>
      <c r="AH33" s="2255"/>
      <c r="AI33" s="1639"/>
      <c r="AJ33" s="1639"/>
      <c r="AK33" s="284"/>
      <c r="AL33" s="372"/>
      <c r="AM33" s="372"/>
      <c r="AN33" s="372"/>
      <c r="AO33" s="372"/>
      <c r="AP33" s="372"/>
      <c r="AQ33" s="422">
        <v>0</v>
      </c>
    </row>
    <row s="1857" customFormat="1" customHeight="1" ht="1.05">
      <c r="A34" s="1252"/>
      <c r="B34" s="1252"/>
      <c r="C34" s="1252"/>
      <c r="D34" s="1252"/>
      <c r="E34" s="1252"/>
      <c r="F34" s="1252"/>
      <c r="G34" s="1252"/>
      <c r="H34" s="1252"/>
      <c r="I34" s="1252"/>
      <c r="J34" s="1252"/>
      <c r="K34" s="1252"/>
      <c r="L34" s="1384"/>
      <c r="M34" s="1252"/>
      <c r="N34" s="1252"/>
      <c r="O34" s="1252"/>
      <c r="P34" s="1372"/>
      <c r="Q34" s="1372"/>
      <c r="S34" s="1639"/>
      <c r="T34" s="1639"/>
      <c r="U34" s="1974"/>
      <c r="V34" s="1639"/>
      <c r="W34" s="1639"/>
      <c r="X34" s="1639"/>
      <c r="Y34" s="1639"/>
      <c r="Z34" s="1639"/>
      <c r="AA34" s="1646" t="s">
        <v>445</v>
      </c>
      <c r="AB34" s="1646"/>
      <c r="AC34" s="1639"/>
      <c r="AD34" s="1639"/>
      <c r="AE34" s="1639"/>
      <c r="AF34" s="1639"/>
      <c r="AG34" s="1639"/>
      <c r="AH34" s="1639"/>
      <c r="AI34" s="1646" t="s">
        <v>445</v>
      </c>
      <c r="AL34" s="372"/>
      <c r="AM34" s="372"/>
      <c r="AN34" s="372"/>
      <c r="AO34" s="372"/>
      <c r="AP34" s="372"/>
      <c r="AQ34" s="422">
        <v>1</v>
      </c>
    </row>
    <row customHeight="1" ht="14.699999999999998">
      <c r="Q35" s="295"/>
      <c r="R35" s="380"/>
      <c r="S35" s="1279"/>
      <c r="T35" s="461"/>
      <c r="U35" s="1248"/>
      <c r="V35" s="2256"/>
      <c r="W35" s="2256"/>
      <c r="X35" s="2256"/>
      <c r="Y35" s="2256"/>
      <c r="Z35" s="2256"/>
      <c r="AA35" s="2256"/>
      <c r="AB35" s="1961"/>
      <c r="AC35" s="2256"/>
      <c r="AD35" s="2256"/>
      <c r="AE35" s="2256"/>
      <c r="AF35" s="2256"/>
      <c r="AG35" s="2256"/>
      <c r="AH35" s="2256"/>
      <c r="AI35" s="2256"/>
      <c r="AQ35" s="1635">
        <v>14</v>
      </c>
    </row>
    <row customHeight="1" ht="14.699999999999998">
      <c r="Q36" s="295"/>
      <c r="R36" s="380"/>
      <c r="S36" s="2131" t="s">
        <v>318</v>
      </c>
      <c r="T36" s="2131"/>
      <c r="U36" s="2131"/>
      <c r="V36" s="2131"/>
      <c r="W36" s="2131"/>
      <c r="X36" s="2131"/>
      <c r="Y36" s="2131"/>
      <c r="Z36" s="2131"/>
      <c r="AA36" s="2179"/>
      <c r="AB36" s="2179"/>
      <c r="AC36" s="2179"/>
      <c r="AD36" s="2131"/>
      <c r="AE36" s="2131"/>
      <c r="AF36" s="2131"/>
      <c r="AG36" s="2131"/>
      <c r="AH36" s="2131"/>
      <c r="AI36" s="2131"/>
      <c r="AJ36" s="2131"/>
      <c r="AK36" s="2131" t="s">
        <v>319</v>
      </c>
      <c r="AQ36" s="1635">
        <v>14</v>
      </c>
    </row>
    <row customHeight="1" ht="14.699999999999998">
      <c r="Q37" s="295"/>
      <c r="R37" s="380"/>
      <c r="S37" s="2277" t="s">
        <v>88</v>
      </c>
      <c r="T37" s="2213" t="s">
        <v>517</v>
      </c>
      <c r="U37" s="341"/>
      <c r="V37" s="2279"/>
      <c r="W37" s="2279"/>
      <c r="X37" s="2279"/>
      <c r="Y37" s="2279"/>
      <c r="Z37" s="2279"/>
      <c r="AA37" s="2213" t="s">
        <v>448</v>
      </c>
      <c r="AB37" s="2212" t="s">
        <v>518</v>
      </c>
      <c r="AC37" s="2212" t="s">
        <v>492</v>
      </c>
      <c r="AD37" s="2295" t="s">
        <v>447</v>
      </c>
      <c r="AE37" s="2295"/>
      <c r="AF37" s="2279"/>
      <c r="AG37" s="2279"/>
      <c r="AH37" s="2280"/>
      <c r="AI37" s="2281" t="s">
        <v>448</v>
      </c>
      <c r="AJ37" s="2284" t="s">
        <v>450</v>
      </c>
      <c r="AK37" s="2131"/>
      <c r="AQ37" s="1635">
        <v>14</v>
      </c>
    </row>
    <row customHeight="1" ht="35.699999999999996">
      <c r="Q38" s="295"/>
      <c r="R38" s="380"/>
      <c r="S38" s="2277"/>
      <c r="T38" s="2213"/>
      <c r="U38" s="1035"/>
      <c r="V38" s="2107" t="s">
        <v>495</v>
      </c>
      <c r="W38" s="2131"/>
      <c r="X38" s="2298" t="s">
        <v>454</v>
      </c>
      <c r="Y38" s="2317"/>
      <c r="Z38" s="2317"/>
      <c r="AA38" s="2213"/>
      <c r="AB38" s="2212"/>
      <c r="AC38" s="2212"/>
      <c r="AD38" s="2107" t="s">
        <v>495</v>
      </c>
      <c r="AE38" s="2131"/>
      <c r="AF38" s="2317" t="s">
        <v>454</v>
      </c>
      <c r="AG38" s="2317"/>
      <c r="AH38" s="2318"/>
      <c r="AI38" s="2282"/>
      <c r="AJ38" s="2285"/>
      <c r="AK38" s="2131"/>
      <c r="AQ38" s="1635">
        <v>34</v>
      </c>
    </row>
    <row customHeight="1" ht="14.699999999999998">
      <c r="Q39" s="295"/>
      <c r="R39" s="380"/>
      <c r="S39" s="2277"/>
      <c r="T39" s="2213"/>
      <c r="U39" s="1035"/>
      <c r="V39" s="2344" t="str">
        <f>IF($AD$39&lt;&gt;"",$AD$39,"")</f>
        <v/>
      </c>
      <c r="W39" s="2344"/>
      <c r="X39" s="2299"/>
      <c r="Y39" s="2319"/>
      <c r="Z39" s="2319"/>
      <c r="AA39" s="2213"/>
      <c r="AB39" s="2212"/>
      <c r="AC39" s="2212"/>
      <c r="AD39" s="2360"/>
      <c r="AE39" s="2343"/>
      <c r="AF39" s="2319"/>
      <c r="AG39" s="2319"/>
      <c r="AH39" s="2320"/>
      <c r="AI39" s="2282"/>
      <c r="AJ39" s="2285"/>
      <c r="AK39" s="2131"/>
      <c r="AQ39" s="1635">
        <v>14</v>
      </c>
    </row>
    <row customHeight="1" ht="14.699999999999998">
      <c r="A40" s="1270"/>
      <c r="B40" s="1270" t="s">
        <v>155</v>
      </c>
      <c r="C40" s="1270" t="s">
        <v>156</v>
      </c>
      <c r="D40" s="1270" t="s">
        <v>157</v>
      </c>
      <c r="E40" s="1314" t="s">
        <v>455</v>
      </c>
      <c r="F40" s="1314" t="s">
        <v>456</v>
      </c>
      <c r="G40" s="1314" t="s">
        <v>457</v>
      </c>
      <c r="H40" s="1314" t="s">
        <v>458</v>
      </c>
      <c r="I40" s="1314" t="s">
        <v>459</v>
      </c>
      <c r="J40" s="1314" t="s">
        <v>460</v>
      </c>
      <c r="K40" s="1314" t="s">
        <v>461</v>
      </c>
      <c r="L40" s="1314" t="s">
        <v>436</v>
      </c>
      <c r="Q40" s="295"/>
      <c r="R40" s="380"/>
      <c r="S40" s="2277"/>
      <c r="T40" s="2213"/>
      <c r="U40" s="306"/>
      <c r="V40" s="1954" t="s">
        <v>496</v>
      </c>
      <c r="W40" s="1954" t="s">
        <v>497</v>
      </c>
      <c r="X40" s="1942" t="s">
        <v>464</v>
      </c>
      <c r="Y40" s="2274" t="s">
        <v>465</v>
      </c>
      <c r="Z40" s="2324"/>
      <c r="AA40" s="2213"/>
      <c r="AB40" s="2212"/>
      <c r="AC40" s="2212"/>
      <c r="AD40" s="1972" t="s">
        <v>496</v>
      </c>
      <c r="AE40" s="1963" t="s">
        <v>497</v>
      </c>
      <c r="AF40" s="1942" t="s">
        <v>464</v>
      </c>
      <c r="AG40" s="2274" t="s">
        <v>465</v>
      </c>
      <c r="AH40" s="2275"/>
      <c r="AI40" s="2283"/>
      <c r="AJ40" s="2286"/>
      <c r="AK40" s="2131"/>
      <c r="AQ40" s="1635">
        <v>14</v>
      </c>
    </row>
    <row s="1645" customFormat="1" customHeight="1" ht="11.25" hidden="1">
      <c r="A41" s="1270"/>
      <c r="B41" s="1270"/>
      <c r="C41" s="1270"/>
      <c r="D41" s="1270"/>
      <c r="E41" s="1270"/>
      <c r="F41" s="1270"/>
      <c r="G41" s="1270"/>
      <c r="H41" s="1270"/>
      <c r="I41" s="1270"/>
      <c r="J41" s="1270"/>
      <c r="K41" s="1270"/>
      <c r="L41" s="1314"/>
      <c r="M41" s="1969"/>
      <c r="N41" s="1969"/>
      <c r="O41" s="1969"/>
      <c r="P41" s="514"/>
      <c r="Q41" s="1258"/>
      <c r="R41" s="1258">
        <v>1</v>
      </c>
      <c r="S41" s="1281" t="s">
        <v>119</v>
      </c>
      <c r="T41" s="1259" t="s">
        <v>103</v>
      </c>
      <c r="U41" s="1249" t="str">
        <f>OFFSET(U41,0,-1)</f>
        <v>2</v>
      </c>
      <c r="V41" s="1960">
        <f>OFFSET(V41,0,-1)+1</f>
        <v>3</v>
      </c>
      <c r="W41" s="1960">
        <f>OFFSET(W41,0,-1)+1</f>
        <v>4</v>
      </c>
      <c r="X41" s="1960">
        <f>OFFSET(X41,0,-1)+1</f>
        <v>5</v>
      </c>
      <c r="Y41" s="2276">
        <f>OFFSET(Y41,0,-1)+1</f>
        <v>6</v>
      </c>
      <c r="Z41" s="2276"/>
      <c r="AA41" s="1345">
        <f>OFFSET(AA41,0,-2)+1</f>
        <v>7</v>
      </c>
      <c r="AB41" s="1345"/>
      <c r="AC41" s="1345"/>
      <c r="AD41" s="1960">
        <f>OFFSET(AD41,0,-1)+1</f>
        <v>1</v>
      </c>
      <c r="AE41" s="1960">
        <f>OFFSET(AE41,0,-1)+1</f>
        <v>2</v>
      </c>
      <c r="AF41" s="1960">
        <f>OFFSET(AF41,0,-1)+1</f>
        <v>3</v>
      </c>
      <c r="AG41" s="2276">
        <f>OFFSET(AG41,0,-1)+1</f>
        <v>4</v>
      </c>
      <c r="AH41" s="2276"/>
      <c r="AI41" s="1960">
        <f>OFFSET(AI41,0,-2)+1</f>
        <v>5</v>
      </c>
      <c r="AJ41" s="1249">
        <f>OFFSET(AJ41,0,-1)</f>
        <v>5</v>
      </c>
      <c r="AK41" s="1960">
        <f>OFFSET(AK41,0,-1)+1</f>
        <v>6</v>
      </c>
      <c r="AL41" s="1640"/>
      <c r="AM41" s="1640"/>
      <c r="AN41" s="1640"/>
      <c r="AO41" s="1640"/>
      <c r="AP41" s="1640"/>
      <c r="AQ41" s="1645">
        <v>0</v>
      </c>
    </row>
    <row customHeight="1" ht="107.25">
      <c r="A42" s="1271" t="s">
        <v>224</v>
      </c>
      <c r="B42" s="1271"/>
      <c r="C42" s="1271"/>
      <c r="D42" s="1271"/>
      <c r="E42" s="2293">
        <v>1</v>
      </c>
      <c r="F42" s="1271"/>
      <c r="G42" s="1271"/>
      <c r="H42" s="1271"/>
      <c r="I42" s="1271"/>
      <c r="J42" s="1271"/>
      <c r="K42" s="1271"/>
      <c r="L42" s="1314"/>
      <c r="M42" s="1614"/>
      <c r="N42" s="1614"/>
      <c r="O42" s="1614"/>
      <c r="P42" s="1413"/>
      <c r="Q42" s="877"/>
      <c r="R42" s="359"/>
      <c r="S42" s="1962">
        <f>INDEX(PT_DIFFERENTIATION_NUM_NTAR,MATCH(A42,PT_DIFFERENTIATION_NTAR_ID,0))</f>
        <v>0</v>
      </c>
      <c r="T42" s="1529" t="s">
        <v>143</v>
      </c>
      <c r="U42" s="304"/>
      <c r="V42" s="2247"/>
      <c r="W42" s="2247"/>
      <c r="X42" s="2247"/>
      <c r="Y42" s="2247"/>
      <c r="Z42" s="2247"/>
      <c r="AA42" s="2248"/>
      <c r="AB42" s="1956"/>
      <c r="AC42" s="2247" t="str">
        <f>INDEX(PT_DIFFERENTIATION_NTAR,MATCH(A42,PT_DIFFERENTIATION_NTAR_ID,0))</f>
        <v/>
      </c>
      <c r="AD42" s="2247"/>
      <c r="AE42" s="2247"/>
      <c r="AF42" s="2247"/>
      <c r="AG42" s="2247"/>
      <c r="AH42" s="2247"/>
      <c r="AI42" s="2247"/>
      <c r="AJ42" s="2248"/>
      <c r="AK42"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8"/>
      <c r="AN42" s="1628" t="str">
        <f>IF(T42="","",T42)</f>
        <v>Наименование тарифа</v>
      </c>
      <c r="AO42" s="1628"/>
      <c r="AP42" s="1628"/>
      <c r="AQ42" s="1635">
        <v>102</v>
      </c>
    </row>
    <row customHeight="1" ht="22.049999999999997">
      <c r="A43" s="1271" t="s">
        <v>224</v>
      </c>
      <c r="B43" s="1271" t="s">
        <v>225</v>
      </c>
      <c r="C43" s="1271"/>
      <c r="D43" s="1271"/>
      <c r="E43" s="2294"/>
      <c r="F43" s="2293">
        <v>1</v>
      </c>
      <c r="G43" s="1271"/>
      <c r="H43" s="1271"/>
      <c r="I43" s="1271"/>
      <c r="J43" s="1271"/>
      <c r="K43" s="1271"/>
      <c r="L43" s="1314"/>
      <c r="M43" s="1614"/>
      <c r="N43" s="1614"/>
      <c r="O43" s="1614"/>
      <c r="P43" s="1973"/>
      <c r="Q43" s="1415"/>
      <c r="R43" s="357"/>
      <c r="S43" s="1962" t="str">
        <f>INDEX(PT_DIFFERENTIATION_NUM_TER,MATCH(B43,PT_DIFFERENTIATION_TER_ID,0))</f>
        <v>.</v>
      </c>
      <c r="T43" s="1526" t="s">
        <v>415</v>
      </c>
      <c r="U43" s="304"/>
      <c r="V43" s="2247"/>
      <c r="W43" s="2247"/>
      <c r="X43" s="2247"/>
      <c r="Y43" s="2247"/>
      <c r="Z43" s="2247"/>
      <c r="AA43" s="2248"/>
      <c r="AB43" s="1956"/>
      <c r="AC43" s="2247" t="str">
        <f>INDEX(PT_DIFFERENTIATION_TER,MATCH(B43,PT_DIFFERENTIATION_TER_ID,0))</f>
        <v/>
      </c>
      <c r="AD43" s="2247"/>
      <c r="AE43" s="2247"/>
      <c r="AF43" s="2247"/>
      <c r="AG43" s="2247"/>
      <c r="AH43" s="2247"/>
      <c r="AI43" s="2247"/>
      <c r="AJ43" s="2248"/>
      <c r="AK43" s="1262" t="s">
        <v>416</v>
      </c>
      <c r="AM43" s="1628"/>
      <c r="AN43" s="1628" t="str">
        <f>IF(T43="","",T43)</f>
        <v>Территория действия тарифа</v>
      </c>
      <c r="AO43" s="1628"/>
      <c r="AP43" s="1628"/>
      <c r="AQ43" s="1635">
        <v>21</v>
      </c>
    </row>
    <row customHeight="1" ht="24">
      <c r="A44" s="1271" t="s">
        <v>224</v>
      </c>
      <c r="B44" s="1271" t="s">
        <v>225</v>
      </c>
      <c r="C44" s="1271" t="s">
        <v>226</v>
      </c>
      <c r="D44" s="1271"/>
      <c r="E44" s="2294"/>
      <c r="F44" s="2294"/>
      <c r="G44" s="2293">
        <v>1</v>
      </c>
      <c r="H44" s="1271"/>
      <c r="I44" s="1271"/>
      <c r="J44" s="1271"/>
      <c r="K44" s="1271"/>
      <c r="L44" s="1314"/>
      <c r="M44" s="1614"/>
      <c r="N44" s="1614"/>
      <c r="O44" s="1614"/>
      <c r="P44" s="1416"/>
      <c r="Q44" s="1415"/>
      <c r="R44" s="357"/>
      <c r="S44" s="1962" t="str">
        <f>INDEX(PT_DIFFERENTIATION_NUM_CS,MATCH(C44,PT_DIFFERENTIATION_CS_ID,0))</f>
        <v>..</v>
      </c>
      <c r="T44" s="313" t="s">
        <v>417</v>
      </c>
      <c r="U44" s="304"/>
      <c r="V44" s="2247"/>
      <c r="W44" s="2247"/>
      <c r="X44" s="2247"/>
      <c r="Y44" s="2247"/>
      <c r="Z44" s="2247"/>
      <c r="AA44" s="2248"/>
      <c r="AB44" s="1956"/>
      <c r="AC44" s="2247" t="str">
        <f>INDEX(PT_DIFFERENTIATION_CS,MATCH(C44,PT_DIFFERENTIATION_CS_ID,0))</f>
        <v/>
      </c>
      <c r="AD44" s="2247"/>
      <c r="AE44" s="2247"/>
      <c r="AF44" s="2247"/>
      <c r="AG44" s="2247"/>
      <c r="AH44" s="2247"/>
      <c r="AI44" s="2247"/>
      <c r="AJ44" s="2248"/>
      <c r="AK44" s="1262" t="s">
        <v>418</v>
      </c>
      <c r="AM44" s="1628"/>
      <c r="AN44" s="1628" t="str">
        <f>IF(T44="","",T44)</f>
        <v>Наименование системы теплоснабжения </v>
      </c>
      <c r="AO44" s="1628"/>
      <c r="AP44" s="1628"/>
      <c r="AQ44" s="1635">
        <v>23</v>
      </c>
    </row>
    <row customHeight="1" ht="22.049999999999997">
      <c r="A45" s="1271" t="s">
        <v>224</v>
      </c>
      <c r="B45" s="1271" t="s">
        <v>225</v>
      </c>
      <c r="C45" s="1271" t="s">
        <v>226</v>
      </c>
      <c r="D45" s="1271" t="s">
        <v>227</v>
      </c>
      <c r="E45" s="2294"/>
      <c r="F45" s="2294"/>
      <c r="G45" s="2294"/>
      <c r="H45" s="2293">
        <v>1</v>
      </c>
      <c r="I45" s="1271"/>
      <c r="J45" s="1271"/>
      <c r="K45" s="1271"/>
      <c r="L45" s="1314"/>
      <c r="M45" s="1614"/>
      <c r="N45" s="1614"/>
      <c r="O45" s="1614"/>
      <c r="P45" s="1416"/>
      <c r="Q45" s="1415"/>
      <c r="R45" s="357"/>
      <c r="S45" s="1962" t="str">
        <f>INDEX(PT_DIFFERENTIATION_NUM_IST_TE,MATCH(D45,PT_DIFFERENTIATION_IST_TE_ID,0))</f>
        <v>...</v>
      </c>
      <c r="T45" s="314" t="s">
        <v>419</v>
      </c>
      <c r="U45" s="304"/>
      <c r="V45" s="2247"/>
      <c r="W45" s="2247"/>
      <c r="X45" s="2247"/>
      <c r="Y45" s="2247"/>
      <c r="Z45" s="2247"/>
      <c r="AA45" s="2248"/>
      <c r="AB45" s="1956"/>
      <c r="AC45" s="2247" t="str">
        <f>INDEX(PT_DIFFERENTIATION_IST_TE,MATCH(D45,PT_DIFFERENTIATION_IST_TE_ID,0))</f>
        <v/>
      </c>
      <c r="AD45" s="2247"/>
      <c r="AE45" s="2247"/>
      <c r="AF45" s="2247"/>
      <c r="AG45" s="2247"/>
      <c r="AH45" s="2247"/>
      <c r="AI45" s="2247"/>
      <c r="AJ45" s="2248"/>
      <c r="AK45" s="1262" t="s">
        <v>420</v>
      </c>
      <c r="AM45" s="1628"/>
      <c r="AN45" s="1628" t="str">
        <f>IF(T45="","",T45)</f>
        <v>Источник тепловой энергии  </v>
      </c>
      <c r="AO45" s="1628"/>
      <c r="AP45" s="1628"/>
      <c r="AQ45" s="1635">
        <v>21</v>
      </c>
    </row>
    <row s="1646" customFormat="1" customHeight="1" ht="0">
      <c r="A46" s="1379" t="s">
        <v>224</v>
      </c>
      <c r="B46" s="1379" t="s">
        <v>225</v>
      </c>
      <c r="C46" s="1379" t="s">
        <v>226</v>
      </c>
      <c r="D46" s="1379" t="s">
        <v>227</v>
      </c>
      <c r="E46" s="2294"/>
      <c r="F46" s="2294"/>
      <c r="G46" s="2294"/>
      <c r="H46" s="2294"/>
      <c r="I46" s="2131" t="str">
        <f>S45&amp;".1"</f>
        <v>....1</v>
      </c>
      <c r="J46" s="1379"/>
      <c r="K46" s="1379"/>
      <c r="L46" s="1385" t="s">
        <v>421</v>
      </c>
      <c r="M46" s="1250"/>
      <c r="N46" s="1250"/>
      <c r="O46" s="1250"/>
      <c r="P46" s="2261">
        <v>1</v>
      </c>
      <c r="Q46" s="1958"/>
      <c r="R46" s="360"/>
      <c r="S46" s="1046"/>
      <c r="T46" s="1387"/>
      <c r="U46" s="1388"/>
      <c r="V46" s="2301"/>
      <c r="W46" s="2301"/>
      <c r="X46" s="2301"/>
      <c r="Y46" s="2301"/>
      <c r="Z46" s="2301"/>
      <c r="AA46" s="2302"/>
      <c r="AB46" s="1964"/>
      <c r="AC46" s="2301"/>
      <c r="AD46" s="2301"/>
      <c r="AE46" s="2301"/>
      <c r="AF46" s="2301"/>
      <c r="AG46" s="2301"/>
      <c r="AH46" s="2301"/>
      <c r="AI46" s="2301"/>
      <c r="AJ46" s="2302"/>
      <c r="AK46" s="1389"/>
      <c r="AM46" s="1628"/>
      <c r="AN46" s="1628" t="str">
        <f>IF(T46="","",T46)</f>
        <v/>
      </c>
      <c r="AO46" s="1628"/>
      <c r="AP46" s="1628"/>
      <c r="AQ46" s="1640">
        <v>0</v>
      </c>
    </row>
    <row s="1646" customFormat="1" customHeight="1" ht="0">
      <c r="A47" s="1379" t="s">
        <v>224</v>
      </c>
      <c r="B47" s="1379" t="s">
        <v>225</v>
      </c>
      <c r="C47" s="1379" t="s">
        <v>226</v>
      </c>
      <c r="D47" s="1379" t="s">
        <v>227</v>
      </c>
      <c r="E47" s="2294"/>
      <c r="F47" s="2294"/>
      <c r="G47" s="2294"/>
      <c r="H47" s="2294"/>
      <c r="I47" s="2105"/>
      <c r="J47" s="2131" t="str">
        <f>S45&amp;".1"</f>
        <v>....1</v>
      </c>
      <c r="K47" s="1379"/>
      <c r="L47" s="1385"/>
      <c r="M47" s="1250"/>
      <c r="N47" s="1250"/>
      <c r="O47" s="1250"/>
      <c r="P47" s="2261"/>
      <c r="Q47" s="2261">
        <v>1</v>
      </c>
      <c r="R47" s="361"/>
      <c r="S47" s="1046"/>
      <c r="T47" s="1403"/>
      <c r="U47" s="1388"/>
      <c r="V47" s="2301"/>
      <c r="W47" s="2301"/>
      <c r="X47" s="2301"/>
      <c r="Y47" s="2301"/>
      <c r="Z47" s="2301"/>
      <c r="AA47" s="2302"/>
      <c r="AB47" s="1964"/>
      <c r="AC47" s="2301"/>
      <c r="AD47" s="2301"/>
      <c r="AE47" s="2301"/>
      <c r="AF47" s="2301"/>
      <c r="AG47" s="2301"/>
      <c r="AH47" s="2301"/>
      <c r="AI47" s="2301"/>
      <c r="AJ47" s="2302"/>
      <c r="AK47" s="1389"/>
      <c r="AM47" s="1628"/>
      <c r="AN47" s="1628" t="str">
        <f>IF(T47="","",T47)</f>
        <v/>
      </c>
      <c r="AO47" s="1628"/>
      <c r="AP47" s="1628"/>
      <c r="AQ47" s="1640">
        <v>0</v>
      </c>
    </row>
    <row customHeight="1" ht="22.049999999999997">
      <c r="A48" s="1271" t="s">
        <v>224</v>
      </c>
      <c r="B48" s="1271" t="s">
        <v>225</v>
      </c>
      <c r="C48" s="1271" t="s">
        <v>226</v>
      </c>
      <c r="D48" s="1271" t="s">
        <v>227</v>
      </c>
      <c r="E48" s="2294"/>
      <c r="F48" s="2294"/>
      <c r="G48" s="2294"/>
      <c r="H48" s="2294"/>
      <c r="I48" s="2105"/>
      <c r="J48" s="2105"/>
      <c r="K48" s="1945" t="str">
        <f>S45&amp;".1"</f>
        <v>....1</v>
      </c>
      <c r="L48" s="1314"/>
      <c r="P48" s="2261"/>
      <c r="Q48" s="2261"/>
      <c r="R48" s="361">
        <v>1</v>
      </c>
      <c r="S48" s="1966" t="str">
        <f>$K48</f>
        <v>....1</v>
      </c>
      <c r="T48" s="1965"/>
      <c r="U48" s="304"/>
      <c r="V48" s="755"/>
      <c r="W48" s="1261"/>
      <c r="X48" s="1959"/>
      <c r="Y48" s="1946" t="s">
        <v>62</v>
      </c>
      <c r="Z48" s="1959"/>
      <c r="AA48" s="1946" t="s">
        <v>62</v>
      </c>
      <c r="AB48" s="1968"/>
      <c r="AC48" s="1967" t="s">
        <v>22</v>
      </c>
      <c r="AD48" s="755"/>
      <c r="AE48" s="1261"/>
      <c r="AF48" s="1959"/>
      <c r="AG48" s="1946" t="s">
        <v>62</v>
      </c>
      <c r="AH48" s="1959"/>
      <c r="AI48" s="1946" t="s">
        <v>62</v>
      </c>
      <c r="AJ48" s="1352"/>
      <c r="AK48" s="2257" t="s">
        <v>498</v>
      </c>
      <c r="AL48" s="1640">
        <f>STRCHECKDATE(#REF!)</f>
      </c>
      <c r="AM48" s="1628"/>
      <c r="AN48" s="1628" t="str">
        <f>IF(T48="","",T48)</f>
        <v/>
      </c>
      <c r="AO48" s="1628"/>
      <c r="AP48" s="1628"/>
      <c r="AQ48" s="1635">
        <v>21</v>
      </c>
    </row>
    <row customHeight="1" ht="11.549999999999999">
      <c r="A49" s="1271" t="s">
        <v>224</v>
      </c>
      <c r="B49" s="1271" t="s">
        <v>225</v>
      </c>
      <c r="C49" s="1271" t="s">
        <v>226</v>
      </c>
      <c r="D49" s="1271" t="s">
        <v>227</v>
      </c>
      <c r="E49" s="2294"/>
      <c r="F49" s="2294"/>
      <c r="G49" s="2294"/>
      <c r="H49" s="2294"/>
      <c r="I49" s="2105"/>
      <c r="J49" s="2131"/>
      <c r="K49" s="1271"/>
      <c r="L49" s="1314"/>
      <c r="P49" s="2261"/>
      <c r="Q49" s="2261"/>
      <c r="R49" s="360"/>
      <c r="S49" s="1282"/>
      <c r="T49" s="291" t="s">
        <v>486</v>
      </c>
      <c r="U49" s="604"/>
      <c r="V49" s="604"/>
      <c r="W49" s="604"/>
      <c r="X49" s="604"/>
      <c r="Y49" s="604"/>
      <c r="Z49" s="604"/>
      <c r="AA49" s="328"/>
      <c r="AB49" s="604"/>
      <c r="AC49" s="604"/>
      <c r="AD49" s="604"/>
      <c r="AE49" s="604"/>
      <c r="AF49" s="604"/>
      <c r="AG49" s="604"/>
      <c r="AH49" s="604"/>
      <c r="AI49" s="604"/>
      <c r="AJ49" s="328"/>
      <c r="AK49" s="2259"/>
      <c r="AM49" s="1628"/>
      <c r="AN49" s="1628" t="str">
        <f>IF(T49="","",T49)</f>
        <v>Добавить строку</v>
      </c>
      <c r="AO49" s="1628"/>
      <c r="AP49" s="1628"/>
      <c r="AQ49" s="1635">
        <v>11</v>
      </c>
    </row>
    <row s="1646" customFormat="1" customHeight="1" ht="1.05">
      <c r="A50" s="1379" t="s">
        <v>224</v>
      </c>
      <c r="B50" s="1379" t="s">
        <v>225</v>
      </c>
      <c r="C50" s="1379" t="s">
        <v>226</v>
      </c>
      <c r="D50" s="1379" t="s">
        <v>227</v>
      </c>
      <c r="E50" s="2294"/>
      <c r="F50" s="2294"/>
      <c r="G50" s="2294"/>
      <c r="H50" s="2294"/>
      <c r="I50" s="2131"/>
      <c r="J50" s="1379"/>
      <c r="K50" s="1379"/>
      <c r="L50" s="1385"/>
      <c r="M50" s="1250"/>
      <c r="N50" s="1250"/>
      <c r="O50" s="1250"/>
      <c r="P50" s="2261"/>
      <c r="Q50" s="1958"/>
      <c r="R50" s="360"/>
      <c r="S50" s="1390"/>
      <c r="T50" s="1391" t="s">
        <v>430</v>
      </c>
      <c r="U50" s="1392"/>
      <c r="V50" s="1392"/>
      <c r="W50" s="1392"/>
      <c r="X50" s="1392"/>
      <c r="Y50" s="1392"/>
      <c r="Z50" s="1392"/>
      <c r="AA50" s="1392"/>
      <c r="AB50" s="1392"/>
      <c r="AC50" s="1392"/>
      <c r="AD50" s="1392"/>
      <c r="AE50" s="1392"/>
      <c r="AF50" s="1392"/>
      <c r="AG50" s="1392"/>
      <c r="AH50" s="1392"/>
      <c r="AI50" s="1392"/>
      <c r="AJ50" s="1392"/>
      <c r="AK50" s="1393"/>
      <c r="AM50" s="1628"/>
      <c r="AN50" s="1628" t="str">
        <f>IF(T50="","",T50)</f>
        <v>Добавить группу потребителей</v>
      </c>
      <c r="AO50" s="1628"/>
      <c r="AP50" s="1628"/>
      <c r="AQ50" s="1640">
        <v>1</v>
      </c>
    </row>
    <row s="1645" customFormat="1" customHeight="1" ht="1.05">
      <c r="A51" s="1379" t="s">
        <v>224</v>
      </c>
      <c r="B51" s="1379" t="s">
        <v>225</v>
      </c>
      <c r="C51" s="1379" t="s">
        <v>226</v>
      </c>
      <c r="D51" s="1379" t="s">
        <v>227</v>
      </c>
      <c r="E51" s="2294"/>
      <c r="F51" s="2294"/>
      <c r="G51" s="2294"/>
      <c r="H51" s="2293"/>
      <c r="I51" s="1379"/>
      <c r="J51" s="1379"/>
      <c r="K51" s="1379"/>
      <c r="L51" s="1385"/>
      <c r="M51" s="1382"/>
      <c r="N51" s="1382"/>
      <c r="O51" s="355"/>
      <c r="P51" s="384"/>
      <c r="Q51" s="1348"/>
      <c r="R51" s="1404"/>
      <c r="S51" s="1390"/>
      <c r="T51" s="1391"/>
      <c r="U51" s="1392"/>
      <c r="V51" s="1392"/>
      <c r="W51" s="1392"/>
      <c r="X51" s="1392"/>
      <c r="Y51" s="1392"/>
      <c r="Z51" s="1392"/>
      <c r="AA51" s="1392"/>
      <c r="AB51" s="1392"/>
      <c r="AC51" s="1392"/>
      <c r="AD51" s="1392"/>
      <c r="AE51" s="1392"/>
      <c r="AF51" s="1392"/>
      <c r="AG51" s="1392"/>
      <c r="AH51" s="1392"/>
      <c r="AI51" s="1392"/>
      <c r="AJ51" s="1392"/>
      <c r="AK51" s="1393"/>
      <c r="AL51" s="1640"/>
      <c r="AM51" s="1628"/>
      <c r="AN51" s="1628" t="str">
        <f>IF(T51="","",T51)</f>
        <v/>
      </c>
      <c r="AO51" s="1628"/>
      <c r="AP51" s="1628"/>
      <c r="AQ51" s="1645">
        <v>1</v>
      </c>
    </row>
    <row s="1646" customFormat="1" customHeight="1" ht="1.05">
      <c r="A52" s="1379" t="s">
        <v>224</v>
      </c>
      <c r="B52" s="1379" t="s">
        <v>225</v>
      </c>
      <c r="C52" s="1379" t="s">
        <v>226</v>
      </c>
      <c r="D52" s="1378"/>
      <c r="E52" s="2294"/>
      <c r="F52" s="2294"/>
      <c r="G52" s="2293"/>
      <c r="H52" s="1378"/>
      <c r="I52" s="1378"/>
      <c r="J52" s="1378"/>
      <c r="K52" s="1378"/>
      <c r="L52" s="1381"/>
      <c r="M52" s="1382"/>
      <c r="N52" s="1382"/>
      <c r="O52" s="355"/>
      <c r="P52" s="1320"/>
      <c r="Q52" s="1321"/>
      <c r="R52" s="1320"/>
      <c r="S52" s="1326"/>
      <c r="T52" s="1329" t="s">
        <v>432</v>
      </c>
      <c r="U52" s="1328"/>
      <c r="V52" s="1328"/>
      <c r="W52" s="1328"/>
      <c r="X52" s="1328"/>
      <c r="Y52" s="1328"/>
      <c r="Z52" s="1328"/>
      <c r="AA52" s="1328"/>
      <c r="AB52" s="1328"/>
      <c r="AC52" s="1328"/>
      <c r="AD52" s="1328"/>
      <c r="AE52" s="1328"/>
      <c r="AF52" s="1328"/>
      <c r="AG52" s="1328"/>
      <c r="AH52" s="1328"/>
      <c r="AI52" s="1328"/>
      <c r="AJ52" s="1328"/>
      <c r="AK52" s="1328"/>
      <c r="AM52" s="1255"/>
      <c r="AN52" s="1255" t="str">
        <f>IF(T52="","",T52)</f>
        <v>Добавить источник для дифференциации</v>
      </c>
      <c r="AO52" s="1255"/>
      <c r="AP52" s="1255"/>
      <c r="AQ52" s="1646">
        <v>1</v>
      </c>
    </row>
    <row s="1646" customFormat="1" customHeight="1" ht="1.05">
      <c r="A53" s="1379" t="s">
        <v>224</v>
      </c>
      <c r="B53" s="1379" t="s">
        <v>225</v>
      </c>
      <c r="C53" s="1378"/>
      <c r="D53" s="1378"/>
      <c r="E53" s="2294"/>
      <c r="F53" s="2293"/>
      <c r="G53" s="1378"/>
      <c r="H53" s="1378"/>
      <c r="I53" s="1378"/>
      <c r="J53" s="1378"/>
      <c r="K53" s="1378"/>
      <c r="L53" s="1381"/>
      <c r="M53" s="1383"/>
      <c r="N53" s="1383"/>
      <c r="O53" s="355"/>
      <c r="P53" s="1320"/>
      <c r="Q53" s="1321"/>
      <c r="R53" s="1320"/>
      <c r="S53" s="1326"/>
      <c r="T53" s="1329" t="s">
        <v>433</v>
      </c>
      <c r="U53" s="1328"/>
      <c r="V53" s="1328"/>
      <c r="W53" s="1328"/>
      <c r="X53" s="1328"/>
      <c r="Y53" s="1328"/>
      <c r="Z53" s="1328"/>
      <c r="AA53" s="1328"/>
      <c r="AB53" s="1328"/>
      <c r="AC53" s="1328"/>
      <c r="AD53" s="1328"/>
      <c r="AE53" s="1328"/>
      <c r="AF53" s="1328"/>
      <c r="AG53" s="1328"/>
      <c r="AH53" s="1328"/>
      <c r="AI53" s="1328"/>
      <c r="AJ53" s="1328"/>
      <c r="AK53" s="1328"/>
      <c r="AM53" s="1255"/>
      <c r="AN53" s="1255" t="str">
        <f>IF(T53="","",T53)</f>
        <v>Добавить централизованную систему для дифференциации</v>
      </c>
      <c r="AO53" s="1255"/>
      <c r="AP53" s="1255"/>
      <c r="AQ53" s="1646">
        <v>1</v>
      </c>
    </row>
    <row s="1646" customFormat="1" customHeight="1" ht="1.05">
      <c r="A54" s="1379" t="s">
        <v>224</v>
      </c>
      <c r="B54" s="1379"/>
      <c r="C54" s="1379"/>
      <c r="D54" s="1379"/>
      <c r="E54" s="2294"/>
      <c r="F54" s="1379"/>
      <c r="G54" s="1379"/>
      <c r="H54" s="1379"/>
      <c r="I54" s="1379"/>
      <c r="J54" s="1379"/>
      <c r="K54" s="1379"/>
      <c r="L54" s="1385"/>
      <c r="M54" s="1383"/>
      <c r="N54" s="1383"/>
      <c r="O54" s="355"/>
      <c r="P54" s="384"/>
      <c r="Q54" s="1348"/>
      <c r="R54" s="384"/>
      <c r="S54" s="1326"/>
      <c r="T54" s="1329" t="s">
        <v>434</v>
      </c>
      <c r="U54" s="1328"/>
      <c r="V54" s="1328"/>
      <c r="W54" s="1328"/>
      <c r="X54" s="1328"/>
      <c r="Y54" s="1328"/>
      <c r="Z54" s="1328"/>
      <c r="AA54" s="1328"/>
      <c r="AB54" s="1328"/>
      <c r="AC54" s="1328"/>
      <c r="AD54" s="1328"/>
      <c r="AE54" s="1328"/>
      <c r="AF54" s="1328"/>
      <c r="AG54" s="1328"/>
      <c r="AH54" s="1328"/>
      <c r="AI54" s="1328"/>
      <c r="AJ54" s="1328"/>
      <c r="AK54" s="1328"/>
      <c r="AM54" s="1628"/>
      <c r="AN54" s="1628" t="str">
        <f>IF(T54="","",T54)</f>
        <v>Добавить территорию для дифференциации</v>
      </c>
      <c r="AO54" s="1628"/>
      <c r="AP54" s="1628"/>
      <c r="AQ54" s="1640">
        <v>1</v>
      </c>
    </row>
    <row s="1646" customFormat="1" customHeight="1" ht="1.05">
      <c r="A55" s="1379" t="s">
        <v>224</v>
      </c>
      <c r="B55" s="1379"/>
      <c r="C55" s="1379"/>
      <c r="D55" s="1379"/>
      <c r="E55" s="2293"/>
      <c r="F55" s="1379"/>
      <c r="G55" s="1379"/>
      <c r="H55" s="1379"/>
      <c r="I55" s="1379"/>
      <c r="J55" s="1379"/>
      <c r="K55" s="1379"/>
      <c r="L55" s="1385"/>
      <c r="M55" s="1383"/>
      <c r="N55" s="1383"/>
      <c r="O55" s="355"/>
      <c r="P55" s="384"/>
      <c r="Q55" s="1348"/>
      <c r="R55" s="384"/>
      <c r="S55" s="1326"/>
      <c r="T55" s="1329" t="s">
        <v>434</v>
      </c>
      <c r="U55" s="1328"/>
      <c r="V55" s="1328"/>
      <c r="W55" s="1328"/>
      <c r="X55" s="1328"/>
      <c r="Y55" s="1328"/>
      <c r="Z55" s="1328"/>
      <c r="AA55" s="1328"/>
      <c r="AB55" s="1328"/>
      <c r="AC55" s="1328"/>
      <c r="AD55" s="1328"/>
      <c r="AE55" s="1328"/>
      <c r="AF55" s="1328"/>
      <c r="AG55" s="1328"/>
      <c r="AH55" s="1328"/>
      <c r="AI55" s="1328"/>
      <c r="AJ55" s="1328"/>
      <c r="AK55" s="1328"/>
      <c r="AM55" s="1628"/>
      <c r="AN55" s="1628" t="str">
        <f>IF(T55="","",T55)</f>
        <v>Добавить территорию для дифференциации</v>
      </c>
      <c r="AO55" s="1628"/>
      <c r="AP55" s="1628"/>
      <c r="AQ55" s="1640">
        <v>1</v>
      </c>
    </row>
    <row s="1646" customFormat="1" customHeight="1" ht="1.05">
      <c r="A56" s="1378"/>
      <c r="B56" s="1378"/>
      <c r="C56" s="1378"/>
      <c r="D56" s="1378"/>
      <c r="E56" s="1379"/>
      <c r="F56" s="1378"/>
      <c r="G56" s="1378"/>
      <c r="H56" s="1378"/>
      <c r="I56" s="1378"/>
      <c r="J56" s="1378"/>
      <c r="K56" s="1378"/>
      <c r="L56" s="1381"/>
      <c r="M56" s="1383"/>
      <c r="N56" s="1383"/>
      <c r="O56" s="355"/>
      <c r="P56" s="1320"/>
      <c r="Q56" s="1321"/>
      <c r="R56" s="1320"/>
      <c r="S56" s="1326"/>
      <c r="T56" s="1329" t="s">
        <v>466</v>
      </c>
      <c r="U56" s="1328"/>
      <c r="V56" s="1328"/>
      <c r="W56" s="1328"/>
      <c r="X56" s="1328"/>
      <c r="Y56" s="1328"/>
      <c r="Z56" s="1328"/>
      <c r="AA56" s="1328"/>
      <c r="AB56" s="1328"/>
      <c r="AC56" s="1328"/>
      <c r="AD56" s="1328"/>
      <c r="AE56" s="1328"/>
      <c r="AF56" s="1328"/>
      <c r="AG56" s="1328"/>
      <c r="AH56" s="1328"/>
      <c r="AI56" s="1328"/>
      <c r="AJ56" s="1328"/>
      <c r="AK56" s="1328"/>
      <c r="AM56" s="1255"/>
      <c r="AN56" s="1255" t="str">
        <f>IF(T56="","",T56)</f>
        <v>Добавить наименование тарифа</v>
      </c>
      <c r="AO56" s="1255"/>
      <c r="AP56" s="1255"/>
      <c r="AQ56" s="1646">
        <v>1</v>
      </c>
    </row>
    <row customHeight="1" ht="11.549999999999999">
      <c r="M57" s="1635"/>
      <c r="N57" s="1635"/>
      <c r="O57" s="1639"/>
      <c r="P57" s="1370"/>
      <c r="Q57" s="1370"/>
      <c r="R57" s="1635"/>
      <c r="S57" s="1635"/>
      <c r="AL57" s="1635"/>
      <c r="AM57" s="1635"/>
      <c r="AN57" s="1635"/>
      <c r="AO57" s="1635"/>
      <c r="AP57" s="1635"/>
      <c r="AQ57" s="1635">
        <v>11</v>
      </c>
    </row>
    <row customHeight="1" ht="19.95">
      <c r="O58" s="1639"/>
      <c r="S58" s="1257"/>
      <c r="T58" s="2289"/>
      <c r="U58" s="2289"/>
      <c r="V58" s="2289"/>
      <c r="W58" s="2289"/>
      <c r="X58" s="2289"/>
      <c r="Y58" s="2289"/>
      <c r="Z58" s="2289"/>
      <c r="AA58" s="2289"/>
      <c r="AB58" s="2289"/>
      <c r="AC58" s="2289"/>
      <c r="AD58" s="2289"/>
      <c r="AE58" s="2289"/>
      <c r="AF58" s="2289"/>
      <c r="AG58" s="2289"/>
      <c r="AH58" s="2289"/>
      <c r="AI58" s="2289"/>
      <c r="AJ58" s="2289"/>
      <c r="AK58" s="2289"/>
      <c r="AQ58" s="1635">
        <v>19</v>
      </c>
    </row>
    <row customHeight="1" ht="21">
      <c r="O59" s="1639"/>
      <c r="T59" s="2289"/>
      <c r="U59" s="2289"/>
      <c r="V59" s="2289"/>
      <c r="W59" s="2289"/>
      <c r="X59" s="2289"/>
      <c r="Y59" s="2289"/>
      <c r="Z59" s="2289"/>
      <c r="AA59" s="2289"/>
      <c r="AB59" s="2289"/>
      <c r="AC59" s="2289"/>
      <c r="AD59" s="2289"/>
      <c r="AE59" s="2289"/>
      <c r="AF59" s="2289"/>
      <c r="AG59" s="2289"/>
      <c r="AH59" s="2289"/>
      <c r="AI59" s="2289"/>
      <c r="AJ59" s="2289"/>
      <c r="AK59" s="2289"/>
      <c r="AQ59" s="1635">
        <v>20</v>
      </c>
    </row>
    <row customHeight="1" ht="14.699999999999998">
      <c r="O60" s="1639"/>
      <c r="T60" s="1957"/>
      <c r="U60" s="1957"/>
      <c r="V60" s="1957"/>
      <c r="W60" s="1957"/>
      <c r="X60" s="1957"/>
      <c r="Y60" s="1957"/>
      <c r="Z60" s="1957"/>
      <c r="AA60" s="1957"/>
      <c r="AB60" s="1957"/>
      <c r="AC60" s="1957"/>
      <c r="AD60" s="1957"/>
      <c r="AE60" s="1957"/>
      <c r="AF60" s="1957"/>
      <c r="AG60" s="1957"/>
      <c r="AH60" s="1957"/>
      <c r="AI60" s="1957"/>
      <c r="AJ60" s="1957"/>
      <c r="AK60" s="1957"/>
      <c r="AQ60" s="1635">
        <v>14</v>
      </c>
    </row>
    <row customHeight="1" ht="19.95">
      <c r="O61" s="1639"/>
      <c r="T61" s="2289"/>
      <c r="U61" s="2289"/>
      <c r="V61" s="2289"/>
      <c r="W61" s="2289"/>
      <c r="X61" s="2289"/>
      <c r="Y61" s="2289"/>
      <c r="Z61" s="2289"/>
      <c r="AA61" s="2289"/>
      <c r="AB61" s="2289"/>
      <c r="AC61" s="2289"/>
      <c r="AD61" s="2289"/>
      <c r="AE61" s="2289"/>
      <c r="AF61" s="2289"/>
      <c r="AG61" s="2289"/>
      <c r="AH61" s="2289"/>
      <c r="AI61" s="2289"/>
      <c r="AJ61" s="2289"/>
      <c r="AK61" s="2289"/>
      <c r="AQ61" s="1635">
        <v>19</v>
      </c>
    </row>
    <row customHeight="1" ht="16.8">
      <c r="O62" s="1639"/>
      <c r="T62" s="2289"/>
      <c r="U62" s="2289"/>
      <c r="V62" s="2289"/>
      <c r="W62" s="2289"/>
      <c r="X62" s="2289"/>
      <c r="Y62" s="2289"/>
      <c r="Z62" s="2289"/>
      <c r="AA62" s="2289"/>
      <c r="AB62" s="2289"/>
      <c r="AC62" s="2289"/>
      <c r="AD62" s="2289"/>
      <c r="AE62" s="2289"/>
      <c r="AF62" s="2289"/>
      <c r="AG62" s="2289"/>
      <c r="AH62" s="2289"/>
      <c r="AI62" s="2289"/>
      <c r="AJ62" s="2289"/>
      <c r="AK62" s="2289"/>
      <c r="AQ62" s="1635">
        <v>16</v>
      </c>
    </row>
    <row customHeight="1" ht="14.699999999999998">
      <c r="O63" s="1639"/>
      <c r="AQ63" s="1635">
        <v>14</v>
      </c>
    </row>
    <row customHeight="1" ht="22.5" hidden="1">
      <c r="A64" s="1635" t="s">
        <v>82</v>
      </c>
      <c r="B64" s="1635">
        <v>0</v>
      </c>
      <c r="C64" s="1635">
        <v>0</v>
      </c>
      <c r="D64" s="1635">
        <v>0</v>
      </c>
      <c r="E64" s="1635">
        <v>0</v>
      </c>
      <c r="F64" s="1635">
        <v>0</v>
      </c>
      <c r="G64" s="1635">
        <v>0</v>
      </c>
      <c r="H64" s="1635">
        <v>0</v>
      </c>
      <c r="I64" s="1635">
        <v>0</v>
      </c>
      <c r="J64" s="1635">
        <v>0</v>
      </c>
      <c r="K64" s="1635">
        <v>0</v>
      </c>
      <c r="L64" s="1943">
        <v>0</v>
      </c>
      <c r="M64" s="1969">
        <v>0</v>
      </c>
      <c r="N64" s="1969">
        <v>0</v>
      </c>
      <c r="O64" s="1969">
        <v>0</v>
      </c>
      <c r="P64" s="1366">
        <v>3</v>
      </c>
      <c r="Q64" s="1375">
        <v>3</v>
      </c>
      <c r="R64" s="348">
        <v>3</v>
      </c>
      <c r="S64" s="585">
        <v>12</v>
      </c>
      <c r="T64" s="1635">
        <v>31</v>
      </c>
      <c r="U64" s="1635">
        <v>0</v>
      </c>
      <c r="V64" s="1635">
        <v>0</v>
      </c>
      <c r="W64" s="1635">
        <v>0</v>
      </c>
      <c r="X64" s="1635">
        <v>0</v>
      </c>
      <c r="Y64" s="1635">
        <v>0</v>
      </c>
      <c r="Z64" s="1635">
        <v>0</v>
      </c>
      <c r="AA64" s="1635">
        <v>0</v>
      </c>
      <c r="AB64" s="1635">
        <v>27</v>
      </c>
      <c r="AC64" s="1635">
        <v>24</v>
      </c>
      <c r="AD64" s="1635">
        <v>21</v>
      </c>
      <c r="AE64" s="1635">
        <v>21</v>
      </c>
      <c r="AF64" s="1635">
        <v>11</v>
      </c>
      <c r="AG64" s="1635">
        <v>3</v>
      </c>
      <c r="AH64" s="1635">
        <v>11</v>
      </c>
      <c r="AI64" s="1635">
        <v>8</v>
      </c>
      <c r="AJ64" s="1635">
        <v>4</v>
      </c>
      <c r="AK64" s="1635">
        <v>115</v>
      </c>
      <c r="AL64" s="1640">
        <v>10</v>
      </c>
      <c r="AM64" s="1640">
        <v>10</v>
      </c>
      <c r="AN64" s="1640">
        <v>10</v>
      </c>
      <c r="AO64" s="1640">
        <v>10</v>
      </c>
      <c r="AP64" s="1640">
        <v>10</v>
      </c>
      <c r="AQ64" s="163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910B1E-D827-3D18-DA5B-B74C34D6FDF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69">
        <f>INDEX(PT_DIFFERENTIATION_NUM_NTAR,MATCH(A2,PT_DIFFERENTIATION_NTAR_ID,0))</f>
      </c>
      <c r="T2" s="302" t="s">
        <v>143</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69">
        <f>INDEX(PT_DIFFERENTIATION_NUM_TER,MATCH(B3,PT_DIFFERENTIATION_TER_ID,0))</f>
      </c>
      <c r="T3" s="312" t="s">
        <v>415</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416</v>
      </c>
      <c r="BE3" s="504"/>
      <c r="BF3" s="504" t="str">
        <f>IF(T3="","",T3)</f>
        <v>Территория действия тарифа</v>
      </c>
      <c r="BG3" s="504"/>
      <c r="BH3" s="504"/>
      <c r="BI3" s="1159">
        <v>0</v>
      </c>
    </row>
    <row customHeight="1" ht="42" hidden="1">
      <c r="A4" s="1367"/>
      <c r="B4" s="1367"/>
      <c r="C4" s="1367"/>
      <c r="D4" s="1367"/>
      <c r="E4" s="2263"/>
      <c r="F4" s="2263"/>
      <c r="G4" s="2262">
        <v>1</v>
      </c>
      <c r="H4" s="1367"/>
      <c r="I4" s="1367"/>
      <c r="J4" s="1367"/>
      <c r="K4" s="1367"/>
      <c r="L4" s="1368"/>
      <c r="M4" s="1369"/>
      <c r="N4" s="1369"/>
      <c r="O4" s="1369"/>
      <c r="P4" s="1416"/>
      <c r="Q4" s="1415"/>
      <c r="R4" s="357"/>
      <c r="S4" s="1469">
        <f>INDEX(PT_DIFFERENTIATION_NUM_CS,MATCH(C4,PT_DIFFERENTIATION_CS_ID,0))</f>
      </c>
      <c r="T4" s="313" t="s">
        <v>499</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500</v>
      </c>
      <c r="BE4" s="504"/>
      <c r="BF4" s="504" t="str">
        <f>IF(T4="","",T4)</f>
        <v>Наименование централизованной системы холодного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420</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421</v>
      </c>
      <c r="M6" s="514"/>
      <c r="N6" s="514"/>
      <c r="O6" s="514"/>
      <c r="P6" s="2261">
        <v>1</v>
      </c>
      <c r="Q6" s="1466"/>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63" t="s">
        <v>62</v>
      </c>
      <c r="AB8" s="1738"/>
      <c r="AC8" s="1463" t="s">
        <v>62</v>
      </c>
      <c r="AD8" s="2189" t="s">
        <v>62</v>
      </c>
      <c r="AE8" s="2330"/>
      <c r="AF8" s="2209">
        <v>1</v>
      </c>
      <c r="AG8" s="2367"/>
      <c r="AH8" s="2111" t="s">
        <v>62</v>
      </c>
      <c r="AI8" s="2330"/>
      <c r="AJ8" s="2209">
        <v>1</v>
      </c>
      <c r="AK8" s="2331" t="s">
        <v>22</v>
      </c>
      <c r="AL8" s="2111" t="s">
        <v>62</v>
      </c>
      <c r="AM8" s="2196"/>
      <c r="AN8" s="2209">
        <v>1</v>
      </c>
      <c r="AO8" s="2361"/>
      <c r="AP8" s="2362" t="s">
        <v>62</v>
      </c>
      <c r="AQ8" s="315"/>
      <c r="AR8" s="1467">
        <v>1</v>
      </c>
      <c r="AS8" s="1470" t="s">
        <v>22</v>
      </c>
      <c r="AT8" s="755"/>
      <c r="AU8" s="1261"/>
      <c r="AV8" s="755"/>
      <c r="AW8" s="1261"/>
      <c r="AX8" s="1738"/>
      <c r="AY8" s="1463" t="s">
        <v>62</v>
      </c>
      <c r="AZ8" s="1738"/>
      <c r="BA8" s="1463" t="s">
        <v>62</v>
      </c>
      <c r="BB8" s="1352"/>
      <c r="BC8" s="2257" t="s">
        <v>519</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520</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521</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522</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523</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486</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66"/>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6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68"/>
      <c r="M17" s="1325"/>
      <c r="N17" s="1325"/>
      <c r="P17" s="1320"/>
      <c r="Q17" s="1321"/>
      <c r="R17" s="1320"/>
      <c r="S17" s="1326"/>
      <c r="T17" s="1329" t="s">
        <v>433</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434</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64" t="s">
        <v>62</v>
      </c>
      <c r="AZ20" s="1740"/>
      <c r="BA20" s="1464" t="s">
        <v>62</v>
      </c>
      <c r="BI20" s="1159">
        <v>0</v>
      </c>
    </row>
    <row customHeight="1" ht="14.25" hidden="1">
      <c r="BD21" s="500"/>
      <c r="BE21" s="500"/>
      <c r="BF21" s="500"/>
      <c r="BG21" s="500"/>
      <c r="BH21" s="500"/>
      <c r="BI21" s="1159">
        <v>0</v>
      </c>
    </row>
    <row customHeight="1" ht="14.25" hidden="1">
      <c r="O22" s="1371" t="s">
        <v>435</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436</v>
      </c>
      <c r="P24" s="1512"/>
      <c r="Q24" s="1514"/>
      <c r="R24" s="1514"/>
      <c r="AA24" s="1511" t="s">
        <v>438</v>
      </c>
      <c r="AC24" s="1511" t="s">
        <v>439</v>
      </c>
      <c r="AD24" s="1511" t="s">
        <v>487</v>
      </c>
      <c r="AH24" s="1511" t="s">
        <v>487</v>
      </c>
      <c r="AK24" s="1511" t="s">
        <v>524</v>
      </c>
      <c r="AL24" s="1511" t="s">
        <v>487</v>
      </c>
      <c r="AP24" s="1511" t="s">
        <v>487</v>
      </c>
      <c r="AY24" s="1511" t="s">
        <v>438</v>
      </c>
      <c r="BA24" s="1511" t="s">
        <v>439</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АО "Теплоэнерго"</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41</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441</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442</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42</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441</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442</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58"/>
      <c r="V38" s="330"/>
      <c r="W38" s="330"/>
      <c r="X38" s="330"/>
      <c r="Y38" s="330"/>
      <c r="Z38" s="330"/>
      <c r="AA38" s="330"/>
      <c r="AB38" s="330"/>
      <c r="AC38" s="282" t="s">
        <v>445</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445</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318</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319</v>
      </c>
      <c r="BI40" s="1159">
        <v>14</v>
      </c>
    </row>
    <row customHeight="1" ht="14.699999999999998">
      <c r="Q41" s="295"/>
      <c r="R41" s="380"/>
      <c r="S41" s="2277" t="s">
        <v>88</v>
      </c>
      <c r="T41" s="2213" t="s">
        <v>525</v>
      </c>
      <c r="U41" s="305"/>
      <c r="V41" s="2278" t="s">
        <v>447</v>
      </c>
      <c r="W41" s="2279"/>
      <c r="X41" s="2279"/>
      <c r="Y41" s="2279"/>
      <c r="Z41" s="2279"/>
      <c r="AA41" s="2279"/>
      <c r="AB41" s="2280"/>
      <c r="AC41" s="2281" t="s">
        <v>448</v>
      </c>
      <c r="AD41" s="2332" t="s">
        <v>526</v>
      </c>
      <c r="AE41" s="2295"/>
      <c r="AF41" s="2295"/>
      <c r="AG41" s="2333"/>
      <c r="AH41" s="2332" t="s">
        <v>527</v>
      </c>
      <c r="AI41" s="2295"/>
      <c r="AJ41" s="2295"/>
      <c r="AK41" s="2333"/>
      <c r="AL41" s="2332" t="s">
        <v>528</v>
      </c>
      <c r="AM41" s="2295"/>
      <c r="AN41" s="2295"/>
      <c r="AO41" s="2333"/>
      <c r="AP41" s="2332" t="s">
        <v>529</v>
      </c>
      <c r="AQ41" s="2295"/>
      <c r="AR41" s="2295"/>
      <c r="AS41" s="2333"/>
      <c r="AT41" s="2278" t="s">
        <v>447</v>
      </c>
      <c r="AU41" s="2279"/>
      <c r="AV41" s="2279"/>
      <c r="AW41" s="2279"/>
      <c r="AX41" s="2279"/>
      <c r="AY41" s="2279"/>
      <c r="AZ41" s="2280"/>
      <c r="BA41" s="2281" t="s">
        <v>448</v>
      </c>
      <c r="BB41" s="2284" t="s">
        <v>450</v>
      </c>
      <c r="BC41" s="2131"/>
      <c r="BI41" s="1159">
        <v>14</v>
      </c>
    </row>
    <row customHeight="1" ht="35.699999999999996">
      <c r="Q42" s="295"/>
      <c r="R42" s="380"/>
      <c r="S42" s="2277"/>
      <c r="T42" s="2213"/>
      <c r="U42" s="1035"/>
      <c r="V42" s="2196" t="s">
        <v>530</v>
      </c>
      <c r="W42" s="2197"/>
      <c r="X42" s="2196" t="s">
        <v>531</v>
      </c>
      <c r="Y42" s="2197"/>
      <c r="Z42" s="2298" t="s">
        <v>532</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530</v>
      </c>
      <c r="AU42" s="2197"/>
      <c r="AV42" s="2196" t="s">
        <v>531</v>
      </c>
      <c r="AW42" s="2197"/>
      <c r="AX42" s="2298" t="s">
        <v>532</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155</v>
      </c>
      <c r="C44" s="1374" t="s">
        <v>156</v>
      </c>
      <c r="D44" s="1374" t="s">
        <v>157</v>
      </c>
      <c r="E44" s="1368" t="s">
        <v>455</v>
      </c>
      <c r="F44" s="1368" t="s">
        <v>456</v>
      </c>
      <c r="G44" s="1368" t="s">
        <v>457</v>
      </c>
      <c r="H44" s="1368" t="s">
        <v>458</v>
      </c>
      <c r="I44" s="1368" t="s">
        <v>459</v>
      </c>
      <c r="J44" s="1368" t="s">
        <v>460</v>
      </c>
      <c r="K44" s="1368" t="s">
        <v>461</v>
      </c>
      <c r="L44" s="1368" t="s">
        <v>436</v>
      </c>
      <c r="Q44" s="295"/>
      <c r="R44" s="380"/>
      <c r="S44" s="2277"/>
      <c r="T44" s="2213"/>
      <c r="U44" s="306"/>
      <c r="V44" s="1452" t="s">
        <v>496</v>
      </c>
      <c r="W44" s="1452" t="s">
        <v>497</v>
      </c>
      <c r="X44" s="1452" t="s">
        <v>496</v>
      </c>
      <c r="Y44" s="1452" t="s">
        <v>497</v>
      </c>
      <c r="Z44" s="1459" t="s">
        <v>464</v>
      </c>
      <c r="AA44" s="2274" t="s">
        <v>465</v>
      </c>
      <c r="AB44" s="2275"/>
      <c r="AC44" s="2283"/>
      <c r="AD44" s="2337"/>
      <c r="AE44" s="2338"/>
      <c r="AF44" s="2338"/>
      <c r="AG44" s="2339"/>
      <c r="AH44" s="2337"/>
      <c r="AI44" s="2338"/>
      <c r="AJ44" s="2338"/>
      <c r="AK44" s="2339"/>
      <c r="AL44" s="2337"/>
      <c r="AM44" s="2338"/>
      <c r="AN44" s="2338"/>
      <c r="AO44" s="2339"/>
      <c r="AP44" s="2337"/>
      <c r="AQ44" s="2338"/>
      <c r="AR44" s="2338"/>
      <c r="AS44" s="2339"/>
      <c r="AT44" s="1452" t="s">
        <v>496</v>
      </c>
      <c r="AU44" s="1452" t="s">
        <v>497</v>
      </c>
      <c r="AV44" s="1452" t="s">
        <v>496</v>
      </c>
      <c r="AW44" s="1452" t="s">
        <v>497</v>
      </c>
      <c r="AX44" s="1459" t="s">
        <v>464</v>
      </c>
      <c r="AY44" s="2274" t="s">
        <v>465</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119</v>
      </c>
      <c r="T45" s="1259" t="s">
        <v>103</v>
      </c>
      <c r="U45" s="1249" t="str">
        <f>OFFSET(U45,0,-1)</f>
        <v>2</v>
      </c>
      <c r="V45" s="1455">
        <f>OFFSET(V45,0,-1)+1</f>
        <v>3</v>
      </c>
      <c r="W45" s="1455">
        <f>OFFSET(W45,0,-1)+1</f>
        <v>4</v>
      </c>
      <c r="X45" s="1455">
        <f>OFFSET(X45,0,-1)+1</f>
        <v>5</v>
      </c>
      <c r="Y45" s="1455">
        <f>OFFSET(Y45,0,-1)+1</f>
        <v>6</v>
      </c>
      <c r="Z45" s="1455">
        <f>OFFSET(Z45,0,-1)+1</f>
        <v>7</v>
      </c>
      <c r="AA45" s="2276">
        <f>OFFSET(AA45,0,-1)+1</f>
        <v>8</v>
      </c>
      <c r="AB45" s="2276"/>
      <c r="AC45" s="1455">
        <f>OFFSET(AC45,0,-2)+1</f>
        <v>9</v>
      </c>
      <c r="AD45" s="1455">
        <f>OFFSET(AD45,0,-1)+1</f>
        <v>10</v>
      </c>
      <c r="AE45" s="1455"/>
      <c r="AF45" s="1455"/>
      <c r="AG45" s="1455"/>
      <c r="AH45" s="1455"/>
      <c r="AI45" s="1455"/>
      <c r="AJ45" s="1455"/>
      <c r="AK45" s="1455"/>
      <c r="AL45" s="1455"/>
      <c r="AM45" s="1455"/>
      <c r="AN45" s="1455"/>
      <c r="AO45" s="1455"/>
      <c r="AP45" s="1455"/>
      <c r="AQ45" s="1455"/>
      <c r="AR45" s="1455"/>
      <c r="AS45" s="1455"/>
      <c r="AT45" s="1455"/>
      <c r="AU45" s="1455"/>
      <c r="AV45" s="1455"/>
      <c r="AW45" s="1455">
        <f>OFFSET(AW45,0,-1)+1</f>
        <v>1</v>
      </c>
      <c r="AX45" s="1455">
        <f>OFFSET(AX45,0,-1)+1</f>
        <v>2</v>
      </c>
      <c r="AY45" s="2276">
        <f>OFFSET(AY45,0,-1)+1</f>
        <v>3</v>
      </c>
      <c r="AZ45" s="2276"/>
      <c r="BA45" s="1455">
        <f>OFFSET(BA45,0,-2)+1</f>
        <v>4</v>
      </c>
      <c r="BB45" s="1249">
        <f>OFFSET(BB45,0,-1)</f>
        <v>4</v>
      </c>
      <c r="BC45" s="1455">
        <f>OFFSET(BC45,0,-1)+1</f>
        <v>5</v>
      </c>
      <c r="BD45" s="515"/>
      <c r="BE45" s="515"/>
      <c r="BF45" s="515"/>
      <c r="BG45" s="515"/>
      <c r="BH45" s="515"/>
      <c r="BI45" s="500">
        <v>0</v>
      </c>
    </row>
    <row customHeight="1" ht="22.049999999999997">
      <c r="A46" s="1367" t="s">
        <v>264</v>
      </c>
      <c r="B46" s="1367"/>
      <c r="C46" s="1367"/>
      <c r="D46" s="1367"/>
      <c r="E46" s="2262">
        <v>1</v>
      </c>
      <c r="F46" s="1367"/>
      <c r="G46" s="1367"/>
      <c r="H46" s="1367"/>
      <c r="I46" s="1367"/>
      <c r="J46" s="1367"/>
      <c r="K46" s="1367"/>
      <c r="L46" s="1368"/>
      <c r="M46" s="1369"/>
      <c r="N46" s="1369"/>
      <c r="O46" s="1369"/>
      <c r="P46" s="1413"/>
      <c r="Q46" s="877"/>
      <c r="R46" s="359"/>
      <c r="S46" s="1461">
        <f>INDEX(PT_DIFFERENTIATION_NUM_NTAR,MATCH(A46,PT_DIFFERENTIATION_NTAR_ID,0))</f>
        <v>0</v>
      </c>
      <c r="T46" s="302" t="s">
        <v>143</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264</v>
      </c>
      <c r="B47" s="1367" t="s">
        <v>265</v>
      </c>
      <c r="C47" s="1367"/>
      <c r="D47" s="1367"/>
      <c r="E47" s="2263"/>
      <c r="F47" s="2262">
        <v>1</v>
      </c>
      <c r="G47" s="1367"/>
      <c r="H47" s="1367"/>
      <c r="I47" s="1367"/>
      <c r="J47" s="1367"/>
      <c r="K47" s="1367"/>
      <c r="L47" s="1368"/>
      <c r="M47" s="1369"/>
      <c r="N47" s="1369"/>
      <c r="O47" s="1369"/>
      <c r="P47" s="1414"/>
      <c r="Q47" s="1415"/>
      <c r="R47" s="357"/>
      <c r="S47" s="1461" t="str">
        <f>INDEX(PT_DIFFERENTIATION_NUM_TER,MATCH(B47,PT_DIFFERENTIATION_TER_ID,0))</f>
        <v>.</v>
      </c>
      <c r="T47" s="312" t="s">
        <v>415</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416</v>
      </c>
      <c r="BE47" s="504"/>
      <c r="BF47" s="504" t="str">
        <f>IF(T47="","",T47)</f>
        <v>Территория действия тарифа</v>
      </c>
      <c r="BG47" s="504"/>
      <c r="BH47" s="504"/>
      <c r="BI47" s="1159">
        <v>21</v>
      </c>
    </row>
    <row customHeight="1" ht="43.050000000000004">
      <c r="A48" s="1367" t="s">
        <v>264</v>
      </c>
      <c r="B48" s="1367" t="s">
        <v>265</v>
      </c>
      <c r="C48" s="1367" t="s">
        <v>266</v>
      </c>
      <c r="D48" s="1367"/>
      <c r="E48" s="2263"/>
      <c r="F48" s="2263"/>
      <c r="G48" s="2262">
        <v>1</v>
      </c>
      <c r="H48" s="1367"/>
      <c r="I48" s="1367"/>
      <c r="J48" s="1367"/>
      <c r="K48" s="1367"/>
      <c r="L48" s="1368"/>
      <c r="M48" s="1369"/>
      <c r="N48" s="1369"/>
      <c r="O48" s="1369"/>
      <c r="P48" s="1416"/>
      <c r="Q48" s="1415"/>
      <c r="R48" s="357"/>
      <c r="S48" s="1461" t="str">
        <f>INDEX(PT_DIFFERENTIATION_NUM_CS,MATCH(C48,PT_DIFFERENTIATION_CS_ID,0))</f>
        <v>..</v>
      </c>
      <c r="T48" s="313" t="s">
        <v>499</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500</v>
      </c>
      <c r="BE48" s="504"/>
      <c r="BF48" s="504" t="str">
        <f>IF(T48="","",T48)</f>
        <v>Наименование централизованной системы холодного водоснабжения</v>
      </c>
      <c r="BG48" s="504"/>
      <c r="BH48" s="504"/>
      <c r="BI48" s="1159">
        <v>41</v>
      </c>
    </row>
    <row s="1646" customFormat="1" customHeight="1" ht="0">
      <c r="A49" s="1347" t="s">
        <v>264</v>
      </c>
      <c r="B49" s="1347" t="s">
        <v>265</v>
      </c>
      <c r="C49" s="1347" t="s">
        <v>266</v>
      </c>
      <c r="D49" s="1347" t="s">
        <v>533</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420</v>
      </c>
      <c r="BE49" s="504"/>
      <c r="BF49" s="504" t="str">
        <f>IF(T49="","",T49)</f>
        <v/>
      </c>
      <c r="BG49" s="504"/>
      <c r="BH49" s="504"/>
      <c r="BI49" s="515">
        <v>0</v>
      </c>
    </row>
    <row s="1646" customFormat="1" customHeight="1" ht="0">
      <c r="A50" s="1347" t="s">
        <v>264</v>
      </c>
      <c r="B50" s="1347" t="s">
        <v>265</v>
      </c>
      <c r="C50" s="1347" t="s">
        <v>266</v>
      </c>
      <c r="D50" s="1347" t="s">
        <v>533</v>
      </c>
      <c r="E50" s="2263"/>
      <c r="F50" s="2263"/>
      <c r="G50" s="2263"/>
      <c r="H50" s="2263"/>
      <c r="I50" s="2260" t="str">
        <f>S49&amp;".1"</f>
        <v>.1</v>
      </c>
      <c r="J50" s="1347"/>
      <c r="K50" s="1347"/>
      <c r="L50" s="1350" t="s">
        <v>421</v>
      </c>
      <c r="M50" s="514"/>
      <c r="N50" s="514"/>
      <c r="O50" s="514"/>
      <c r="P50" s="2261">
        <v>1</v>
      </c>
      <c r="Q50" s="1466"/>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264</v>
      </c>
      <c r="B51" s="1347" t="s">
        <v>265</v>
      </c>
      <c r="C51" s="1347" t="s">
        <v>266</v>
      </c>
      <c r="D51" s="1347" t="s">
        <v>533</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264</v>
      </c>
      <c r="B52" s="1367" t="s">
        <v>265</v>
      </c>
      <c r="C52" s="1367" t="s">
        <v>266</v>
      </c>
      <c r="D52" s="1367" t="s">
        <v>533</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63" t="s">
        <v>62</v>
      </c>
      <c r="AB52" s="1738"/>
      <c r="AC52" s="1463" t="s">
        <v>62</v>
      </c>
      <c r="AD52" s="2189" t="s">
        <v>62</v>
      </c>
      <c r="AE52" s="2330"/>
      <c r="AF52" s="2209">
        <v>1</v>
      </c>
      <c r="AG52" s="2367"/>
      <c r="AH52" s="2111" t="s">
        <v>62</v>
      </c>
      <c r="AI52" s="2330"/>
      <c r="AJ52" s="2209">
        <v>1</v>
      </c>
      <c r="AK52" s="2331" t="s">
        <v>22</v>
      </c>
      <c r="AL52" s="2111" t="s">
        <v>62</v>
      </c>
      <c r="AM52" s="2196"/>
      <c r="AN52" s="2209">
        <v>1</v>
      </c>
      <c r="AO52" s="2361"/>
      <c r="AP52" s="2362" t="s">
        <v>62</v>
      </c>
      <c r="AQ52" s="315"/>
      <c r="AR52" s="1467">
        <v>1</v>
      </c>
      <c r="AS52" s="1470" t="s">
        <v>22</v>
      </c>
      <c r="AT52" s="755"/>
      <c r="AU52" s="1261"/>
      <c r="AV52" s="755"/>
      <c r="AW52" s="1261"/>
      <c r="AX52" s="1738"/>
      <c r="AY52" s="1463" t="s">
        <v>62</v>
      </c>
      <c r="AZ52" s="1738"/>
      <c r="BA52" s="1463" t="s">
        <v>62</v>
      </c>
      <c r="BB52" s="1352"/>
      <c r="BC52" s="2257" t="s">
        <v>519</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520</v>
      </c>
      <c r="AT53" s="1397"/>
      <c r="AU53" s="1500"/>
      <c r="AV53" s="1397"/>
      <c r="AW53" s="1500"/>
      <c r="AX53" s="1397"/>
      <c r="AY53" s="1397"/>
      <c r="AZ53" s="1397"/>
      <c r="BA53" s="1397"/>
      <c r="BB53" s="1401"/>
      <c r="BC53" s="2258"/>
      <c r="BE53" s="504"/>
      <c r="BF53" s="504"/>
      <c r="BG53" s="504"/>
      <c r="BH53" s="504"/>
      <c r="BI53" s="1159">
        <v>11</v>
      </c>
    </row>
    <row customHeight="1" ht="11.549999999999999">
      <c r="A54" s="1367" t="s">
        <v>264</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521</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264</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522</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264</v>
      </c>
      <c r="B56" s="1367" t="s">
        <v>265</v>
      </c>
      <c r="C56" s="1367" t="s">
        <v>266</v>
      </c>
      <c r="D56" s="1367" t="s">
        <v>533</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523</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264</v>
      </c>
      <c r="B57" s="1367" t="s">
        <v>265</v>
      </c>
      <c r="C57" s="1367" t="s">
        <v>266</v>
      </c>
      <c r="D57" s="1367" t="s">
        <v>533</v>
      </c>
      <c r="E57" s="2263"/>
      <c r="F57" s="2263"/>
      <c r="G57" s="2263"/>
      <c r="H57" s="2263"/>
      <c r="I57" s="2290"/>
      <c r="J57" s="2260"/>
      <c r="K57" s="1367"/>
      <c r="L57" s="1368"/>
      <c r="P57" s="2261"/>
      <c r="Q57" s="2261"/>
      <c r="R57" s="360"/>
      <c r="S57" s="1282"/>
      <c r="T57" s="291" t="s">
        <v>486</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264</v>
      </c>
      <c r="B58" s="1347" t="s">
        <v>265</v>
      </c>
      <c r="C58" s="1347" t="s">
        <v>266</v>
      </c>
      <c r="D58" s="1347" t="s">
        <v>533</v>
      </c>
      <c r="E58" s="2263"/>
      <c r="F58" s="2263"/>
      <c r="G58" s="2263"/>
      <c r="H58" s="2263"/>
      <c r="I58" s="2260"/>
      <c r="J58" s="1347"/>
      <c r="K58" s="1347"/>
      <c r="L58" s="1350"/>
      <c r="M58" s="514"/>
      <c r="N58" s="514"/>
      <c r="O58" s="514"/>
      <c r="P58" s="2261"/>
      <c r="Q58" s="1466"/>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264</v>
      </c>
      <c r="B59" s="1347" t="s">
        <v>265</v>
      </c>
      <c r="C59" s="1347" t="s">
        <v>266</v>
      </c>
      <c r="D59" s="1347" t="s">
        <v>533</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264</v>
      </c>
      <c r="B60" s="1347" t="s">
        <v>265</v>
      </c>
      <c r="C60" s="1347" t="s">
        <v>266</v>
      </c>
      <c r="D60" s="1318"/>
      <c r="E60" s="2263"/>
      <c r="F60" s="2263"/>
      <c r="G60" s="2262"/>
      <c r="H60" s="1318"/>
      <c r="I60" s="1318"/>
      <c r="J60" s="1318"/>
      <c r="K60" s="1318"/>
      <c r="L60" s="146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264</v>
      </c>
      <c r="B61" s="1347" t="s">
        <v>265</v>
      </c>
      <c r="C61" s="1318"/>
      <c r="D61" s="1318"/>
      <c r="E61" s="2263"/>
      <c r="F61" s="2262"/>
      <c r="G61" s="1318"/>
      <c r="H61" s="1318"/>
      <c r="I61" s="1318"/>
      <c r="J61" s="1318"/>
      <c r="K61" s="1318"/>
      <c r="L61" s="1468"/>
      <c r="M61" s="1325"/>
      <c r="N61" s="1325"/>
      <c r="P61" s="1320"/>
      <c r="Q61" s="1321"/>
      <c r="R61" s="1320"/>
      <c r="S61" s="1326"/>
      <c r="T61" s="1329" t="s">
        <v>433</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264</v>
      </c>
      <c r="B62" s="1347"/>
      <c r="C62" s="1347"/>
      <c r="D62" s="1347"/>
      <c r="E62" s="2262"/>
      <c r="F62" s="1347"/>
      <c r="G62" s="1347"/>
      <c r="H62" s="1347"/>
      <c r="I62" s="1347"/>
      <c r="J62" s="1347"/>
      <c r="K62" s="1347"/>
      <c r="L62" s="1350"/>
      <c r="M62" s="1325"/>
      <c r="N62" s="1325"/>
      <c r="O62" s="522"/>
      <c r="P62" s="384"/>
      <c r="Q62" s="1348"/>
      <c r="R62" s="384"/>
      <c r="S62" s="1326"/>
      <c r="T62" s="1329" t="s">
        <v>434</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68"/>
      <c r="M63" s="1325"/>
      <c r="N63" s="1325"/>
      <c r="P63" s="1320"/>
      <c r="Q63" s="1321"/>
      <c r="R63" s="1320"/>
      <c r="S63" s="1326"/>
      <c r="T63" s="1329" t="s">
        <v>466</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1453"/>
      <c r="AV66" s="1453"/>
      <c r="AW66" s="1453"/>
      <c r="AX66" s="1453"/>
      <c r="AY66" s="1453"/>
      <c r="AZ66" s="1453"/>
      <c r="BA66" s="1453"/>
      <c r="BB66" s="1453"/>
      <c r="BC66" s="1453"/>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82</v>
      </c>
      <c r="B69" s="1164">
        <v>0</v>
      </c>
      <c r="C69" s="1164">
        <v>0</v>
      </c>
      <c r="D69" s="1164">
        <v>0</v>
      </c>
      <c r="E69" s="1164">
        <v>0</v>
      </c>
      <c r="F69" s="1164">
        <v>0</v>
      </c>
      <c r="G69" s="1164">
        <v>0</v>
      </c>
      <c r="H69" s="1164">
        <v>0</v>
      </c>
      <c r="I69" s="1164">
        <v>0</v>
      </c>
      <c r="J69" s="1164">
        <v>0</v>
      </c>
      <c r="K69" s="1164">
        <v>0</v>
      </c>
      <c r="L69" s="1465">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3C978F-8E8D-76B7-C8E9-C57CE7DAB52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143</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415</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416</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534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535</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501</v>
      </c>
      <c r="U5" s="304"/>
      <c r="V5" s="2354"/>
      <c r="W5" s="2355"/>
      <c r="X5" s="2355"/>
      <c r="Y5" s="2355"/>
      <c r="Z5" s="2355"/>
      <c r="AA5" s="2355"/>
      <c r="AB5" s="2356"/>
      <c r="AC5" s="2357"/>
      <c r="AD5" s="2358"/>
      <c r="AE5" s="2358"/>
      <c r="AF5" s="2358"/>
      <c r="AG5" s="2358"/>
      <c r="AH5" s="2358"/>
      <c r="AI5" s="2358"/>
      <c r="AJ5" s="2359"/>
      <c r="AK5" s="1262" t="s">
        <v>502</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424</v>
      </c>
      <c r="P6" s="2261"/>
      <c r="Q6" s="2261">
        <v>1</v>
      </c>
      <c r="R6" s="361"/>
      <c r="S6" s="1497">
        <f>$J6</f>
      </c>
      <c r="T6" s="290" t="s">
        <v>425</v>
      </c>
      <c r="U6" s="304"/>
      <c r="V6" s="2249"/>
      <c r="W6" s="2250"/>
      <c r="X6" s="2250"/>
      <c r="Y6" s="2250"/>
      <c r="Z6" s="2250"/>
      <c r="AA6" s="2250"/>
      <c r="AB6" s="2251"/>
      <c r="AC6" s="2249"/>
      <c r="AD6" s="2250"/>
      <c r="AE6" s="2250"/>
      <c r="AF6" s="2250"/>
      <c r="AG6" s="2250"/>
      <c r="AH6" s="2250"/>
      <c r="AI6" s="2250"/>
      <c r="AJ6" s="2251"/>
      <c r="AK6" s="1311" t="s">
        <v>503</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504</v>
      </c>
      <c r="U9" s="371"/>
      <c r="V9" s="371"/>
      <c r="W9" s="371"/>
      <c r="X9" s="371"/>
      <c r="Y9" s="371"/>
      <c r="Z9" s="371"/>
      <c r="AA9" s="371"/>
      <c r="AB9" s="371"/>
      <c r="AC9" s="371"/>
      <c r="AD9" s="371"/>
      <c r="AE9" s="371"/>
      <c r="AF9" s="371"/>
      <c r="AG9" s="371"/>
      <c r="AH9" s="371"/>
      <c r="AI9" s="371"/>
      <c r="AJ9" s="371"/>
      <c r="AK9" s="1262" t="s">
        <v>505</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430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433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434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435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436</v>
      </c>
      <c r="P20" s="1366"/>
      <c r="Q20" s="1446"/>
      <c r="R20" s="1446"/>
      <c r="S20" s="733"/>
      <c r="T20" s="1164" t="s">
        <v>437</v>
      </c>
      <c r="Z20" s="190" t="s">
        <v>438</v>
      </c>
      <c r="AB20" s="190" t="s">
        <v>439</v>
      </c>
      <c r="AC20" s="1164" t="s">
        <v>437</v>
      </c>
      <c r="AG20" s="190" t="s">
        <v>440</v>
      </c>
      <c r="AI20" s="190" t="s">
        <v>439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"Теплоэнерго"</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41</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441</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442</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42</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443</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444</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445</v>
      </c>
      <c r="AC34" s="330"/>
      <c r="AD34" s="330"/>
      <c r="AE34" s="330"/>
      <c r="AF34" s="330"/>
      <c r="AG34" s="330"/>
      <c r="AH34" s="330"/>
      <c r="AI34" s="282" t="s">
        <v>445</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318</v>
      </c>
      <c r="T36" s="2131"/>
      <c r="U36" s="2131"/>
      <c r="V36" s="2131"/>
      <c r="W36" s="2131"/>
      <c r="X36" s="2131"/>
      <c r="Y36" s="2131"/>
      <c r="Z36" s="2131"/>
      <c r="AA36" s="2131"/>
      <c r="AB36" s="2131"/>
      <c r="AC36" s="2131"/>
      <c r="AD36" s="2131"/>
      <c r="AE36" s="2131"/>
      <c r="AF36" s="2131"/>
      <c r="AG36" s="2131"/>
      <c r="AH36" s="2131"/>
      <c r="AI36" s="2131"/>
      <c r="AJ36" s="2131"/>
      <c r="AK36" s="2131" t="s">
        <v>319</v>
      </c>
      <c r="AQ36" s="1159">
        <v>14</v>
      </c>
    </row>
    <row customHeight="1" ht="14.699999999999998">
      <c r="Q37" s="380"/>
      <c r="R37" s="380"/>
      <c r="S37" s="2277" t="s">
        <v>88</v>
      </c>
      <c r="T37" s="2213" t="s">
        <v>446</v>
      </c>
      <c r="U37" s="305"/>
      <c r="V37" s="2278" t="s">
        <v>447</v>
      </c>
      <c r="W37" s="2279"/>
      <c r="X37" s="2279"/>
      <c r="Y37" s="2279"/>
      <c r="Z37" s="2279"/>
      <c r="AA37" s="2280"/>
      <c r="AB37" s="2281" t="s">
        <v>448</v>
      </c>
      <c r="AC37" s="2278" t="s">
        <v>447</v>
      </c>
      <c r="AD37" s="2279"/>
      <c r="AE37" s="2279"/>
      <c r="AF37" s="2279"/>
      <c r="AG37" s="2279"/>
      <c r="AH37" s="2280"/>
      <c r="AI37" s="2281" t="s">
        <v>449</v>
      </c>
      <c r="AJ37" s="2284" t="s">
        <v>450</v>
      </c>
      <c r="AK37" s="2131"/>
      <c r="AQ37" s="1159">
        <v>14</v>
      </c>
    </row>
    <row customHeight="1" ht="35.699999999999996">
      <c r="Q38" s="380"/>
      <c r="R38" s="380"/>
      <c r="S38" s="2277"/>
      <c r="T38" s="2213"/>
      <c r="U38" s="1035"/>
      <c r="V38" s="1487" t="s">
        <v>507</v>
      </c>
      <c r="W38" s="2266" t="s">
        <v>453</v>
      </c>
      <c r="X38" s="2267"/>
      <c r="Y38" s="2266" t="s">
        <v>454</v>
      </c>
      <c r="Z38" s="2273"/>
      <c r="AA38" s="2267"/>
      <c r="AB38" s="2282"/>
      <c r="AC38" s="1487" t="s">
        <v>507</v>
      </c>
      <c r="AD38" s="2266" t="s">
        <v>453</v>
      </c>
      <c r="AE38" s="2267"/>
      <c r="AF38" s="2266" t="s">
        <v>454</v>
      </c>
      <c r="AG38" s="2273"/>
      <c r="AH38" s="2267"/>
      <c r="AI38" s="2282"/>
      <c r="AJ38" s="2285"/>
      <c r="AK38" s="2131"/>
      <c r="AQ38" s="1159">
        <v>34</v>
      </c>
    </row>
    <row customHeight="1" ht="90.3">
      <c r="A39" s="1374"/>
      <c r="B39" s="1374" t="s">
        <v>155</v>
      </c>
      <c r="C39" s="1374" t="s">
        <v>156</v>
      </c>
      <c r="D39" s="1374" t="s">
        <v>157</v>
      </c>
      <c r="E39" s="1368" t="s">
        <v>455</v>
      </c>
      <c r="F39" s="1368" t="s">
        <v>456</v>
      </c>
      <c r="G39" s="1368" t="s">
        <v>457</v>
      </c>
      <c r="H39" s="1368"/>
      <c r="I39" s="1368" t="s">
        <v>508</v>
      </c>
      <c r="J39" s="1368" t="s">
        <v>460</v>
      </c>
      <c r="K39" s="1368" t="s">
        <v>509</v>
      </c>
      <c r="L39" s="1368" t="s">
        <v>436</v>
      </c>
      <c r="Q39" s="380"/>
      <c r="R39" s="380"/>
      <c r="S39" s="2277"/>
      <c r="T39" s="2213"/>
      <c r="U39" s="306"/>
      <c r="V39" s="1487" t="s">
        <v>536</v>
      </c>
      <c r="W39" s="1226" t="s">
        <v>537</v>
      </c>
      <c r="X39" s="1226" t="s">
        <v>512</v>
      </c>
      <c r="Y39" s="1493" t="s">
        <v>464</v>
      </c>
      <c r="Z39" s="2274" t="s">
        <v>465</v>
      </c>
      <c r="AA39" s="2275"/>
      <c r="AB39" s="2283"/>
      <c r="AC39" s="1487" t="s">
        <v>536</v>
      </c>
      <c r="AD39" s="1226" t="s">
        <v>537</v>
      </c>
      <c r="AE39" s="1226" t="s">
        <v>512</v>
      </c>
      <c r="AF39" s="1493" t="s">
        <v>464</v>
      </c>
      <c r="AG39" s="2274" t="s">
        <v>465</v>
      </c>
      <c r="AH39" s="2275"/>
      <c r="AI39" s="2283"/>
      <c r="AJ39" s="2286"/>
      <c r="AK39" s="2131"/>
      <c r="AQ39" s="1159">
        <v>86</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119</v>
      </c>
      <c r="T40" s="1259" t="s">
        <v>103</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284</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143</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284</v>
      </c>
      <c r="B42" s="1367" t="s">
        <v>285</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415</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416</v>
      </c>
      <c r="AM42" s="504"/>
      <c r="AN42" s="504" t="str">
        <f>IF(T42="","",T42)</f>
        <v>Территория действия тарифа</v>
      </c>
      <c r="AO42" s="504"/>
      <c r="AP42" s="504"/>
      <c r="AQ42" s="1159">
        <v>23</v>
      </c>
    </row>
    <row customHeight="1" ht="24">
      <c r="A43" s="1367" t="s">
        <v>284</v>
      </c>
      <c r="B43" s="1367" t="s">
        <v>285</v>
      </c>
      <c r="C43" s="1367" t="s">
        <v>286</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534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535</v>
      </c>
      <c r="AM43" s="504"/>
      <c r="AN43" s="504" t="str">
        <f>IF(T43="","",T43)</f>
        <v>Наименование централизованной системы водоотведения</v>
      </c>
      <c r="AO43" s="504"/>
      <c r="AP43" s="504"/>
      <c r="AQ43" s="1159">
        <v>23</v>
      </c>
    </row>
    <row customHeight="1" ht="24">
      <c r="A44" s="1367" t="s">
        <v>284</v>
      </c>
      <c r="B44" s="1367" t="s">
        <v>285</v>
      </c>
      <c r="C44" s="1367" t="s">
        <v>286</v>
      </c>
      <c r="D44" s="1367" t="s">
        <v>538</v>
      </c>
      <c r="E44" s="2263"/>
      <c r="F44" s="2263"/>
      <c r="G44" s="2263"/>
      <c r="H44" s="2263"/>
      <c r="I44" s="2260" t="str">
        <f>S43&amp;".1"</f>
        <v>...1</v>
      </c>
      <c r="J44" s="1367"/>
      <c r="K44" s="1367"/>
      <c r="L44" s="1368"/>
      <c r="P44" s="2261">
        <v>1</v>
      </c>
      <c r="Q44" s="1485"/>
      <c r="R44" s="360"/>
      <c r="S44" s="1497" t="str">
        <f>$I44</f>
        <v>...1</v>
      </c>
      <c r="T44" s="289" t="s">
        <v>501</v>
      </c>
      <c r="U44" s="304"/>
      <c r="V44" s="2354"/>
      <c r="W44" s="2355"/>
      <c r="X44" s="2355"/>
      <c r="Y44" s="2355"/>
      <c r="Z44" s="2355"/>
      <c r="AA44" s="2355"/>
      <c r="AB44" s="2356"/>
      <c r="AC44" s="2357"/>
      <c r="AD44" s="2358"/>
      <c r="AE44" s="2358"/>
      <c r="AF44" s="2358"/>
      <c r="AG44" s="2358"/>
      <c r="AH44" s="2358"/>
      <c r="AI44" s="2358"/>
      <c r="AJ44" s="2359"/>
      <c r="AK44" s="1262" t="s">
        <v>502</v>
      </c>
      <c r="AM44" s="504"/>
      <c r="AN44" s="504" t="str">
        <f>IF(T44="","",T44)</f>
        <v>Наименование признака дифференциации</v>
      </c>
      <c r="AO44" s="504"/>
      <c r="AP44" s="504"/>
      <c r="AQ44" s="1159">
        <v>23</v>
      </c>
    </row>
    <row customHeight="1" ht="24">
      <c r="A45" s="1367" t="s">
        <v>284</v>
      </c>
      <c r="B45" s="1367" t="s">
        <v>285</v>
      </c>
      <c r="C45" s="1367" t="s">
        <v>286</v>
      </c>
      <c r="D45" s="1367" t="s">
        <v>538</v>
      </c>
      <c r="E45" s="2263"/>
      <c r="F45" s="2263"/>
      <c r="G45" s="2263"/>
      <c r="H45" s="2263"/>
      <c r="I45" s="2290"/>
      <c r="J45" s="2260" t="str">
        <f>I44&amp;".1"</f>
        <v>...1.1</v>
      </c>
      <c r="K45" s="1367"/>
      <c r="L45" s="1368" t="s">
        <v>424</v>
      </c>
      <c r="P45" s="2261"/>
      <c r="Q45" s="2261">
        <v>1</v>
      </c>
      <c r="R45" s="361"/>
      <c r="S45" s="1497" t="str">
        <f>$J45</f>
        <v>...1.1</v>
      </c>
      <c r="T45" s="290" t="s">
        <v>425</v>
      </c>
      <c r="U45" s="304"/>
      <c r="V45" s="2249"/>
      <c r="W45" s="2250"/>
      <c r="X45" s="2250"/>
      <c r="Y45" s="2250"/>
      <c r="Z45" s="2250"/>
      <c r="AA45" s="2250"/>
      <c r="AB45" s="2251"/>
      <c r="AC45" s="2249"/>
      <c r="AD45" s="2250"/>
      <c r="AE45" s="2250"/>
      <c r="AF45" s="2250"/>
      <c r="AG45" s="2250"/>
      <c r="AH45" s="2250"/>
      <c r="AI45" s="2250"/>
      <c r="AJ45" s="2251"/>
      <c r="AK45" s="1311" t="s">
        <v>503</v>
      </c>
      <c r="AM45" s="504"/>
      <c r="AN45" s="504" t="str">
        <f>IF(T45="","",T45)</f>
        <v>Группа потребителей</v>
      </c>
      <c r="AO45" s="504"/>
      <c r="AP45" s="504"/>
      <c r="AQ45" s="1159">
        <v>23</v>
      </c>
    </row>
    <row customHeight="1" ht="24">
      <c r="A46" s="1367" t="s">
        <v>284</v>
      </c>
      <c r="B46" s="1367" t="s">
        <v>285</v>
      </c>
      <c r="C46" s="1367" t="s">
        <v>286</v>
      </c>
      <c r="D46" s="1367" t="s">
        <v>538</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62</v>
      </c>
      <c r="AA46" s="2271"/>
      <c r="AB46" s="2272" t="s">
        <v>62</v>
      </c>
      <c r="AC46" s="755"/>
      <c r="AD46" s="755"/>
      <c r="AE46" s="1261"/>
      <c r="AF46" s="2269"/>
      <c r="AG46" s="2111" t="s">
        <v>62</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284</v>
      </c>
      <c r="B47" s="1367" t="s">
        <v>285</v>
      </c>
      <c r="C47" s="1367" t="s">
        <v>286</v>
      </c>
      <c r="D47" s="1367" t="s">
        <v>538</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284</v>
      </c>
      <c r="B48" s="1367" t="s">
        <v>285</v>
      </c>
      <c r="C48" s="1367" t="s">
        <v>286</v>
      </c>
      <c r="D48" s="1367" t="s">
        <v>538</v>
      </c>
      <c r="E48" s="2263"/>
      <c r="F48" s="2263"/>
      <c r="G48" s="2263"/>
      <c r="H48" s="2263"/>
      <c r="I48" s="2290"/>
      <c r="J48" s="2260"/>
      <c r="K48" s="1367"/>
      <c r="L48" s="1368"/>
      <c r="P48" s="2261"/>
      <c r="Q48" s="2261"/>
      <c r="R48" s="360"/>
      <c r="S48" s="1282"/>
      <c r="T48" s="291" t="s">
        <v>504</v>
      </c>
      <c r="U48" s="371"/>
      <c r="V48" s="371"/>
      <c r="W48" s="371"/>
      <c r="X48" s="371"/>
      <c r="Y48" s="371"/>
      <c r="Z48" s="371"/>
      <c r="AA48" s="371"/>
      <c r="AB48" s="371"/>
      <c r="AC48" s="371"/>
      <c r="AD48" s="371"/>
      <c r="AE48" s="371"/>
      <c r="AF48" s="371"/>
      <c r="AG48" s="371"/>
      <c r="AH48" s="371"/>
      <c r="AI48" s="371"/>
      <c r="AJ48" s="371"/>
      <c r="AK48" s="1262" t="s">
        <v>505</v>
      </c>
      <c r="AM48" s="504"/>
      <c r="AN48" s="504" t="str">
        <f>IF(T48="","",T48)</f>
        <v>Добавить значение признака дифференциации</v>
      </c>
      <c r="AO48" s="504"/>
      <c r="AP48" s="504"/>
      <c r="AQ48" s="1159">
        <v>20</v>
      </c>
    </row>
    <row customHeight="1" ht="22.049999999999997">
      <c r="A49" s="1367" t="s">
        <v>284</v>
      </c>
      <c r="B49" s="1367" t="s">
        <v>285</v>
      </c>
      <c r="C49" s="1367" t="s">
        <v>286</v>
      </c>
      <c r="D49" s="1367" t="s">
        <v>538</v>
      </c>
      <c r="E49" s="2263"/>
      <c r="F49" s="2263"/>
      <c r="G49" s="2263"/>
      <c r="H49" s="2263"/>
      <c r="I49" s="2260"/>
      <c r="J49" s="1367"/>
      <c r="K49" s="1367"/>
      <c r="L49" s="1368"/>
      <c r="P49" s="2261"/>
      <c r="Q49" s="1485"/>
      <c r="R49" s="360"/>
      <c r="S49" s="1282"/>
      <c r="T49" s="369" t="s">
        <v>430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284</v>
      </c>
      <c r="B50" s="1367" t="s">
        <v>285</v>
      </c>
      <c r="C50" s="1367" t="s">
        <v>286</v>
      </c>
      <c r="D50" s="1367" t="s">
        <v>538</v>
      </c>
      <c r="E50" s="2263"/>
      <c r="F50" s="2263"/>
      <c r="G50" s="2263"/>
      <c r="H50" s="2262"/>
      <c r="I50" s="1367"/>
      <c r="J50" s="1367"/>
      <c r="K50" s="1367"/>
      <c r="L50" s="1368"/>
      <c r="M50" s="1369"/>
      <c r="N50" s="1369"/>
      <c r="O50" s="541"/>
      <c r="P50" s="364"/>
      <c r="Q50" s="379"/>
      <c r="R50" s="359"/>
      <c r="S50" s="1282"/>
      <c r="T50" s="376" t="s">
        <v>506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284</v>
      </c>
      <c r="B51" s="1347" t="s">
        <v>285</v>
      </c>
      <c r="C51" s="1318"/>
      <c r="D51" s="1318"/>
      <c r="E51" s="2263"/>
      <c r="F51" s="2262"/>
      <c r="G51" s="1318"/>
      <c r="H51" s="1318"/>
      <c r="I51" s="1318"/>
      <c r="J51" s="1318"/>
      <c r="K51" s="1318"/>
      <c r="L51" s="1498"/>
      <c r="M51" s="1325"/>
      <c r="N51" s="1325"/>
      <c r="P51" s="1320"/>
      <c r="Q51" s="1321"/>
      <c r="R51" s="1320"/>
      <c r="S51" s="1326"/>
      <c r="T51" s="1329" t="s">
        <v>433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284</v>
      </c>
      <c r="B52" s="1347"/>
      <c r="C52" s="1347"/>
      <c r="D52" s="1347"/>
      <c r="E52" s="2262"/>
      <c r="F52" s="1347"/>
      <c r="G52" s="1347"/>
      <c r="H52" s="1347"/>
      <c r="I52" s="1347"/>
      <c r="J52" s="1347"/>
      <c r="K52" s="1347"/>
      <c r="L52" s="1350"/>
      <c r="M52" s="1325"/>
      <c r="N52" s="1325"/>
      <c r="O52" s="522"/>
      <c r="P52" s="384"/>
      <c r="Q52" s="1348"/>
      <c r="R52" s="384"/>
      <c r="S52" s="1326"/>
      <c r="T52" s="1329" t="s">
        <v>434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466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21CFD2-71D6-88A5-7A07-D06757A240A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143</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415</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416</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534</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535</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501</v>
      </c>
      <c r="U5" s="304"/>
      <c r="V5" s="2354"/>
      <c r="W5" s="2355"/>
      <c r="X5" s="2355"/>
      <c r="Y5" s="2355"/>
      <c r="Z5" s="2355"/>
      <c r="AA5" s="2355"/>
      <c r="AB5" s="2356"/>
      <c r="AC5" s="2357"/>
      <c r="AD5" s="2358"/>
      <c r="AE5" s="2358"/>
      <c r="AF5" s="2358"/>
      <c r="AG5" s="2358"/>
      <c r="AH5" s="2358"/>
      <c r="AI5" s="2358"/>
      <c r="AJ5" s="2359"/>
      <c r="AK5" s="1262" t="s">
        <v>502</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424</v>
      </c>
      <c r="P6" s="2261"/>
      <c r="Q6" s="2261">
        <v>1</v>
      </c>
      <c r="R6" s="361"/>
      <c r="S6" s="1497">
        <f>$J6</f>
      </c>
      <c r="T6" s="290" t="s">
        <v>425</v>
      </c>
      <c r="U6" s="304"/>
      <c r="V6" s="2249"/>
      <c r="W6" s="2250"/>
      <c r="X6" s="2250"/>
      <c r="Y6" s="2250"/>
      <c r="Z6" s="2250"/>
      <c r="AA6" s="2250"/>
      <c r="AB6" s="2251"/>
      <c r="AC6" s="2249"/>
      <c r="AD6" s="2250"/>
      <c r="AE6" s="2250"/>
      <c r="AF6" s="2250"/>
      <c r="AG6" s="2250"/>
      <c r="AH6" s="2250"/>
      <c r="AI6" s="2250"/>
      <c r="AJ6" s="2251"/>
      <c r="AK6" s="1311" t="s">
        <v>503</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62</v>
      </c>
      <c r="AA7" s="2269"/>
      <c r="AB7" s="2111" t="s">
        <v>62</v>
      </c>
      <c r="AC7" s="755"/>
      <c r="AD7" s="755"/>
      <c r="AE7" s="1261"/>
      <c r="AF7" s="2269"/>
      <c r="AG7" s="2111" t="s">
        <v>62</v>
      </c>
      <c r="AH7" s="2291"/>
      <c r="AI7" s="2111" t="s">
        <v>62</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504</v>
      </c>
      <c r="U9" s="371"/>
      <c r="V9" s="371"/>
      <c r="W9" s="371"/>
      <c r="X9" s="371"/>
      <c r="Y9" s="371"/>
      <c r="Z9" s="371"/>
      <c r="AA9" s="371"/>
      <c r="AB9" s="371"/>
      <c r="AC9" s="371"/>
      <c r="AD9" s="371"/>
      <c r="AE9" s="371"/>
      <c r="AF9" s="371"/>
      <c r="AG9" s="371"/>
      <c r="AH9" s="371"/>
      <c r="AI9" s="371"/>
      <c r="AJ9" s="371"/>
      <c r="AK9" s="1262" t="s">
        <v>505</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430</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506</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433</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434</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62</v>
      </c>
      <c r="AH15" s="2271"/>
      <c r="AI15" s="2272" t="s">
        <v>62</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435</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436</v>
      </c>
      <c r="P20" s="1366"/>
      <c r="Q20" s="1446"/>
      <c r="R20" s="1446"/>
      <c r="S20" s="733"/>
      <c r="T20" s="1164" t="s">
        <v>437</v>
      </c>
      <c r="Z20" s="190" t="s">
        <v>438</v>
      </c>
      <c r="AB20" s="190" t="s">
        <v>439</v>
      </c>
      <c r="AC20" s="1164" t="s">
        <v>437</v>
      </c>
      <c r="AG20" s="190" t="s">
        <v>440</v>
      </c>
      <c r="AI20" s="190" t="s">
        <v>439</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АО "Теплоэнерго"</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41</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441</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442</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42</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443</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444</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445</v>
      </c>
      <c r="AC34" s="330"/>
      <c r="AD34" s="330"/>
      <c r="AE34" s="330"/>
      <c r="AF34" s="330"/>
      <c r="AG34" s="330"/>
      <c r="AH34" s="330"/>
      <c r="AI34" s="282" t="s">
        <v>445</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318</v>
      </c>
      <c r="T36" s="2131"/>
      <c r="U36" s="2131"/>
      <c r="V36" s="2131"/>
      <c r="W36" s="2131"/>
      <c r="X36" s="2131"/>
      <c r="Y36" s="2131"/>
      <c r="Z36" s="2131"/>
      <c r="AA36" s="2131"/>
      <c r="AB36" s="2131"/>
      <c r="AC36" s="2131"/>
      <c r="AD36" s="2131"/>
      <c r="AE36" s="2131"/>
      <c r="AF36" s="2131"/>
      <c r="AG36" s="2131"/>
      <c r="AH36" s="2131"/>
      <c r="AI36" s="2131"/>
      <c r="AJ36" s="2131"/>
      <c r="AK36" s="2131" t="s">
        <v>319</v>
      </c>
      <c r="AQ36" s="1159">
        <v>14</v>
      </c>
    </row>
    <row customHeight="1" ht="14.699999999999998">
      <c r="Q37" s="380"/>
      <c r="R37" s="380"/>
      <c r="S37" s="2277" t="s">
        <v>88</v>
      </c>
      <c r="T37" s="2213" t="s">
        <v>446</v>
      </c>
      <c r="U37" s="305"/>
      <c r="V37" s="2278" t="s">
        <v>447</v>
      </c>
      <c r="W37" s="2279"/>
      <c r="X37" s="2279"/>
      <c r="Y37" s="2279"/>
      <c r="Z37" s="2279"/>
      <c r="AA37" s="2280"/>
      <c r="AB37" s="2281" t="s">
        <v>448</v>
      </c>
      <c r="AC37" s="2278" t="s">
        <v>447</v>
      </c>
      <c r="AD37" s="2279"/>
      <c r="AE37" s="2279"/>
      <c r="AF37" s="2279"/>
      <c r="AG37" s="2279"/>
      <c r="AH37" s="2280"/>
      <c r="AI37" s="2281" t="s">
        <v>449</v>
      </c>
      <c r="AJ37" s="2284" t="s">
        <v>450</v>
      </c>
      <c r="AK37" s="2131"/>
      <c r="AQ37" s="1159">
        <v>14</v>
      </c>
    </row>
    <row customHeight="1" ht="35.699999999999996">
      <c r="Q38" s="380"/>
      <c r="R38" s="380"/>
      <c r="S38" s="2277"/>
      <c r="T38" s="2213"/>
      <c r="U38" s="1035"/>
      <c r="V38" s="1487" t="s">
        <v>507</v>
      </c>
      <c r="W38" s="2266" t="s">
        <v>453</v>
      </c>
      <c r="X38" s="2267"/>
      <c r="Y38" s="2266" t="s">
        <v>454</v>
      </c>
      <c r="Z38" s="2273"/>
      <c r="AA38" s="2267"/>
      <c r="AB38" s="2282"/>
      <c r="AC38" s="1487" t="s">
        <v>507</v>
      </c>
      <c r="AD38" s="2266" t="s">
        <v>453</v>
      </c>
      <c r="AE38" s="2267"/>
      <c r="AF38" s="2266" t="s">
        <v>454</v>
      </c>
      <c r="AG38" s="2273"/>
      <c r="AH38" s="2267"/>
      <c r="AI38" s="2282"/>
      <c r="AJ38" s="2285"/>
      <c r="AK38" s="2131"/>
      <c r="AQ38" s="1159">
        <v>34</v>
      </c>
    </row>
    <row customHeight="1" ht="90.3">
      <c r="A39" s="1374"/>
      <c r="B39" s="1374" t="s">
        <v>155</v>
      </c>
      <c r="C39" s="1374" t="s">
        <v>156</v>
      </c>
      <c r="D39" s="1374" t="s">
        <v>157</v>
      </c>
      <c r="E39" s="1368" t="s">
        <v>455</v>
      </c>
      <c r="F39" s="1368" t="s">
        <v>456</v>
      </c>
      <c r="G39" s="1368" t="s">
        <v>457</v>
      </c>
      <c r="H39" s="1368"/>
      <c r="I39" s="1368" t="s">
        <v>508</v>
      </c>
      <c r="J39" s="1368" t="s">
        <v>460</v>
      </c>
      <c r="K39" s="1368" t="s">
        <v>509</v>
      </c>
      <c r="L39" s="1368" t="s">
        <v>436</v>
      </c>
      <c r="Q39" s="380"/>
      <c r="R39" s="380"/>
      <c r="S39" s="2277"/>
      <c r="T39" s="2213"/>
      <c r="U39" s="306"/>
      <c r="V39" s="1487" t="s">
        <v>536</v>
      </c>
      <c r="W39" s="1226" t="s">
        <v>537</v>
      </c>
      <c r="X39" s="1226" t="s">
        <v>512</v>
      </c>
      <c r="Y39" s="1493" t="s">
        <v>464</v>
      </c>
      <c r="Z39" s="2274" t="s">
        <v>465</v>
      </c>
      <c r="AA39" s="2275"/>
      <c r="AB39" s="2283"/>
      <c r="AC39" s="1487" t="s">
        <v>536</v>
      </c>
      <c r="AD39" s="1226" t="s">
        <v>537</v>
      </c>
      <c r="AE39" s="1226" t="s">
        <v>512</v>
      </c>
      <c r="AF39" s="1493" t="s">
        <v>464</v>
      </c>
      <c r="AG39" s="2274" t="s">
        <v>465</v>
      </c>
      <c r="AH39" s="2275"/>
      <c r="AI39" s="2283"/>
      <c r="AJ39" s="2286"/>
      <c r="AK39" s="2131"/>
      <c r="AQ39" s="1159">
        <v>86</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119</v>
      </c>
      <c r="T40" s="1259" t="s">
        <v>103</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289</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143</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289</v>
      </c>
      <c r="B42" s="1367" t="s">
        <v>290</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415</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416</v>
      </c>
      <c r="AM42" s="504"/>
      <c r="AN42" s="504" t="str">
        <f>IF(T42="","",T42)</f>
        <v>Территория действия тарифа</v>
      </c>
      <c r="AO42" s="504"/>
      <c r="AP42" s="504"/>
      <c r="AQ42" s="1159">
        <v>23</v>
      </c>
    </row>
    <row customHeight="1" ht="24">
      <c r="A43" s="1367" t="s">
        <v>289</v>
      </c>
      <c r="B43" s="1367" t="s">
        <v>290</v>
      </c>
      <c r="C43" s="1367" t="s">
        <v>291</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534</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535</v>
      </c>
      <c r="AM43" s="504"/>
      <c r="AN43" s="504" t="str">
        <f>IF(T43="","",T43)</f>
        <v>Наименование централизованной системы водоотведения</v>
      </c>
      <c r="AO43" s="504"/>
      <c r="AP43" s="504"/>
      <c r="AQ43" s="1159">
        <v>23</v>
      </c>
    </row>
    <row customHeight="1" ht="24">
      <c r="A44" s="1367" t="s">
        <v>289</v>
      </c>
      <c r="B44" s="1367" t="s">
        <v>290</v>
      </c>
      <c r="C44" s="1367" t="s">
        <v>291</v>
      </c>
      <c r="D44" s="1367" t="s">
        <v>539</v>
      </c>
      <c r="E44" s="2263"/>
      <c r="F44" s="2263"/>
      <c r="G44" s="2263"/>
      <c r="H44" s="2263"/>
      <c r="I44" s="2260" t="str">
        <f>S43&amp;".1"</f>
        <v>...1</v>
      </c>
      <c r="J44" s="1367"/>
      <c r="K44" s="1367"/>
      <c r="L44" s="1368"/>
      <c r="P44" s="2261">
        <v>1</v>
      </c>
      <c r="Q44" s="1485"/>
      <c r="R44" s="360"/>
      <c r="S44" s="1497" t="str">
        <f>$I44</f>
        <v>...1</v>
      </c>
      <c r="T44" s="289" t="s">
        <v>501</v>
      </c>
      <c r="U44" s="304"/>
      <c r="V44" s="2354"/>
      <c r="W44" s="2355"/>
      <c r="X44" s="2355"/>
      <c r="Y44" s="2355"/>
      <c r="Z44" s="2355"/>
      <c r="AA44" s="2355"/>
      <c r="AB44" s="2356"/>
      <c r="AC44" s="2357"/>
      <c r="AD44" s="2358"/>
      <c r="AE44" s="2358"/>
      <c r="AF44" s="2358"/>
      <c r="AG44" s="2358"/>
      <c r="AH44" s="2358"/>
      <c r="AI44" s="2358"/>
      <c r="AJ44" s="2359"/>
      <c r="AK44" s="1262" t="s">
        <v>502</v>
      </c>
      <c r="AM44" s="504"/>
      <c r="AN44" s="504" t="str">
        <f>IF(T44="","",T44)</f>
        <v>Наименование признака дифференциации</v>
      </c>
      <c r="AO44" s="504"/>
      <c r="AP44" s="504"/>
      <c r="AQ44" s="1159">
        <v>23</v>
      </c>
    </row>
    <row customHeight="1" ht="24">
      <c r="A45" s="1367" t="s">
        <v>289</v>
      </c>
      <c r="B45" s="1367" t="s">
        <v>290</v>
      </c>
      <c r="C45" s="1367" t="s">
        <v>291</v>
      </c>
      <c r="D45" s="1367" t="s">
        <v>539</v>
      </c>
      <c r="E45" s="2263"/>
      <c r="F45" s="2263"/>
      <c r="G45" s="2263"/>
      <c r="H45" s="2263"/>
      <c r="I45" s="2290"/>
      <c r="J45" s="2260" t="str">
        <f>I44&amp;".1"</f>
        <v>...1.1</v>
      </c>
      <c r="K45" s="1367"/>
      <c r="L45" s="1368" t="s">
        <v>424</v>
      </c>
      <c r="P45" s="2261"/>
      <c r="Q45" s="2261">
        <v>1</v>
      </c>
      <c r="R45" s="361"/>
      <c r="S45" s="1497" t="str">
        <f>$J45</f>
        <v>...1.1</v>
      </c>
      <c r="T45" s="290" t="s">
        <v>425</v>
      </c>
      <c r="U45" s="304"/>
      <c r="V45" s="2249"/>
      <c r="W45" s="2250"/>
      <c r="X45" s="2250"/>
      <c r="Y45" s="2250"/>
      <c r="Z45" s="2250"/>
      <c r="AA45" s="2250"/>
      <c r="AB45" s="2251"/>
      <c r="AC45" s="2249"/>
      <c r="AD45" s="2250"/>
      <c r="AE45" s="2250"/>
      <c r="AF45" s="2250"/>
      <c r="AG45" s="2250"/>
      <c r="AH45" s="2250"/>
      <c r="AI45" s="2250"/>
      <c r="AJ45" s="2251"/>
      <c r="AK45" s="1311" t="s">
        <v>503</v>
      </c>
      <c r="AM45" s="504"/>
      <c r="AN45" s="504" t="str">
        <f>IF(T45="","",T45)</f>
        <v>Группа потребителей</v>
      </c>
      <c r="AO45" s="504"/>
      <c r="AP45" s="504"/>
      <c r="AQ45" s="1159">
        <v>23</v>
      </c>
    </row>
    <row customHeight="1" ht="24">
      <c r="A46" s="1367" t="s">
        <v>289</v>
      </c>
      <c r="B46" s="1367" t="s">
        <v>290</v>
      </c>
      <c r="C46" s="1367" t="s">
        <v>291</v>
      </c>
      <c r="D46" s="1367" t="s">
        <v>539</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62</v>
      </c>
      <c r="AA46" s="2271"/>
      <c r="AB46" s="2272" t="s">
        <v>62</v>
      </c>
      <c r="AC46" s="755"/>
      <c r="AD46" s="755"/>
      <c r="AE46" s="1261"/>
      <c r="AF46" s="2269"/>
      <c r="AG46" s="2111" t="s">
        <v>62</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289</v>
      </c>
      <c r="B47" s="1367" t="s">
        <v>290</v>
      </c>
      <c r="C47" s="1367" t="s">
        <v>291</v>
      </c>
      <c r="D47" s="1367" t="s">
        <v>539</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289</v>
      </c>
      <c r="B48" s="1367" t="s">
        <v>290</v>
      </c>
      <c r="C48" s="1367" t="s">
        <v>291</v>
      </c>
      <c r="D48" s="1367" t="s">
        <v>539</v>
      </c>
      <c r="E48" s="2263"/>
      <c r="F48" s="2263"/>
      <c r="G48" s="2263"/>
      <c r="H48" s="2263"/>
      <c r="I48" s="2290"/>
      <c r="J48" s="2260"/>
      <c r="K48" s="1367"/>
      <c r="L48" s="1368"/>
      <c r="P48" s="2261"/>
      <c r="Q48" s="2261"/>
      <c r="R48" s="360"/>
      <c r="S48" s="1282"/>
      <c r="T48" s="291" t="s">
        <v>504</v>
      </c>
      <c r="U48" s="371"/>
      <c r="V48" s="371"/>
      <c r="W48" s="371"/>
      <c r="X48" s="371"/>
      <c r="Y48" s="371"/>
      <c r="Z48" s="371"/>
      <c r="AA48" s="371"/>
      <c r="AB48" s="371"/>
      <c r="AC48" s="371"/>
      <c r="AD48" s="371"/>
      <c r="AE48" s="371"/>
      <c r="AF48" s="371"/>
      <c r="AG48" s="371"/>
      <c r="AH48" s="371"/>
      <c r="AI48" s="371"/>
      <c r="AJ48" s="371"/>
      <c r="AK48" s="1262" t="s">
        <v>505</v>
      </c>
      <c r="AM48" s="504"/>
      <c r="AN48" s="504" t="str">
        <f>IF(T48="","",T48)</f>
        <v>Добавить значение признака дифференциации</v>
      </c>
      <c r="AO48" s="504"/>
      <c r="AP48" s="504"/>
      <c r="AQ48" s="1159">
        <v>20</v>
      </c>
    </row>
    <row customHeight="1" ht="22.049999999999997">
      <c r="A49" s="1367" t="s">
        <v>289</v>
      </c>
      <c r="B49" s="1367" t="s">
        <v>290</v>
      </c>
      <c r="C49" s="1367" t="s">
        <v>291</v>
      </c>
      <c r="D49" s="1367" t="s">
        <v>539</v>
      </c>
      <c r="E49" s="2263"/>
      <c r="F49" s="2263"/>
      <c r="G49" s="2263"/>
      <c r="H49" s="2263"/>
      <c r="I49" s="2260"/>
      <c r="J49" s="1367"/>
      <c r="K49" s="1367"/>
      <c r="L49" s="1368"/>
      <c r="P49" s="2261"/>
      <c r="Q49" s="1485"/>
      <c r="R49" s="360"/>
      <c r="S49" s="1282"/>
      <c r="T49" s="369" t="s">
        <v>430</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289</v>
      </c>
      <c r="B50" s="1367" t="s">
        <v>290</v>
      </c>
      <c r="C50" s="1367" t="s">
        <v>291</v>
      </c>
      <c r="D50" s="1367" t="s">
        <v>539</v>
      </c>
      <c r="E50" s="2263"/>
      <c r="F50" s="2263"/>
      <c r="G50" s="2263"/>
      <c r="H50" s="2262"/>
      <c r="I50" s="1367"/>
      <c r="J50" s="1367"/>
      <c r="K50" s="1367"/>
      <c r="L50" s="1368"/>
      <c r="M50" s="1369"/>
      <c r="N50" s="1369"/>
      <c r="O50" s="541"/>
      <c r="P50" s="364"/>
      <c r="Q50" s="379"/>
      <c r="R50" s="359"/>
      <c r="S50" s="1282"/>
      <c r="T50" s="376" t="s">
        <v>506</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289</v>
      </c>
      <c r="B51" s="1347" t="s">
        <v>290</v>
      </c>
      <c r="C51" s="1318"/>
      <c r="D51" s="1318"/>
      <c r="E51" s="2263"/>
      <c r="F51" s="2262"/>
      <c r="G51" s="1318"/>
      <c r="H51" s="1318"/>
      <c r="I51" s="1318"/>
      <c r="J51" s="1318"/>
      <c r="K51" s="1318"/>
      <c r="L51" s="1498"/>
      <c r="M51" s="1325"/>
      <c r="N51" s="1325"/>
      <c r="P51" s="1320"/>
      <c r="Q51" s="1321"/>
      <c r="R51" s="1320"/>
      <c r="S51" s="1326"/>
      <c r="T51" s="1329" t="s">
        <v>433</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289</v>
      </c>
      <c r="B52" s="1347"/>
      <c r="C52" s="1347"/>
      <c r="D52" s="1347"/>
      <c r="E52" s="2262"/>
      <c r="F52" s="1347"/>
      <c r="G52" s="1347"/>
      <c r="H52" s="1347"/>
      <c r="I52" s="1347"/>
      <c r="J52" s="1347"/>
      <c r="K52" s="1347"/>
      <c r="L52" s="1350"/>
      <c r="M52" s="1325"/>
      <c r="N52" s="1325"/>
      <c r="O52" s="522"/>
      <c r="P52" s="384"/>
      <c r="Q52" s="1348"/>
      <c r="R52" s="384"/>
      <c r="S52" s="1326"/>
      <c r="T52" s="1329" t="s">
        <v>434</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466</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82</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6BF3AF-5578-D963-B524-5049C0F206C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143</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415</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416</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534</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535</v>
      </c>
      <c r="BE4" s="504"/>
      <c r="BF4" s="504" t="str">
        <f>IF(T4="","",T4)</f>
        <v>Наименование централизованной системы водоотведения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420</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421</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62</v>
      </c>
      <c r="AB8" s="1738"/>
      <c r="AC8" s="1473" t="s">
        <v>62</v>
      </c>
      <c r="AD8" s="2189" t="s">
        <v>62</v>
      </c>
      <c r="AE8" s="2330"/>
      <c r="AF8" s="2209">
        <v>1</v>
      </c>
      <c r="AG8" s="2367"/>
      <c r="AH8" s="2111" t="s">
        <v>62</v>
      </c>
      <c r="AI8" s="2330"/>
      <c r="AJ8" s="2209">
        <v>1</v>
      </c>
      <c r="AK8" s="2331" t="s">
        <v>22</v>
      </c>
      <c r="AL8" s="2111" t="s">
        <v>62</v>
      </c>
      <c r="AM8" s="2196"/>
      <c r="AN8" s="2209">
        <v>1</v>
      </c>
      <c r="AO8" s="2361"/>
      <c r="AP8" s="2362" t="s">
        <v>62</v>
      </c>
      <c r="AQ8" s="315"/>
      <c r="AR8" s="1490">
        <v>1</v>
      </c>
      <c r="AS8" s="1496" t="s">
        <v>22</v>
      </c>
      <c r="AT8" s="755"/>
      <c r="AU8" s="1261"/>
      <c r="AV8" s="755"/>
      <c r="AW8" s="1261"/>
      <c r="AX8" s="1738"/>
      <c r="AY8" s="1473" t="s">
        <v>62</v>
      </c>
      <c r="AZ8" s="1738"/>
      <c r="BA8" s="1473" t="s">
        <v>62</v>
      </c>
      <c r="BB8" s="1352"/>
      <c r="BC8" s="2257" t="s">
        <v>519</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520</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540</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541</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523</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486</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433</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434</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62</v>
      </c>
      <c r="AZ20" s="1740"/>
      <c r="BA20" s="1489" t="s">
        <v>62</v>
      </c>
      <c r="BI20" s="1159">
        <v>0</v>
      </c>
    </row>
    <row customHeight="1" ht="14.25" hidden="1">
      <c r="BD21" s="500"/>
      <c r="BE21" s="500"/>
      <c r="BF21" s="500"/>
      <c r="BG21" s="500"/>
      <c r="BH21" s="500"/>
      <c r="BI21" s="1159">
        <v>0</v>
      </c>
    </row>
    <row customHeight="1" ht="14.25" hidden="1">
      <c r="O22" s="1371" t="s">
        <v>435</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436</v>
      </c>
      <c r="P24" s="1512"/>
      <c r="Q24" s="1514"/>
      <c r="R24" s="1514"/>
      <c r="AA24" s="1511" t="s">
        <v>438</v>
      </c>
      <c r="AC24" s="1511" t="s">
        <v>439</v>
      </c>
      <c r="AD24" s="1511" t="s">
        <v>487</v>
      </c>
      <c r="AH24" s="1511" t="s">
        <v>487</v>
      </c>
      <c r="AK24" s="1511" t="s">
        <v>524</v>
      </c>
      <c r="AL24" s="1511" t="s">
        <v>487</v>
      </c>
      <c r="AP24" s="1511" t="s">
        <v>487</v>
      </c>
      <c r="AY24" s="1511" t="s">
        <v>438</v>
      </c>
      <c r="BA24" s="1511" t="s">
        <v>439</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АО "Теплоэнерго"</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41</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441</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442</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42</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441</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442</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445</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445</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318</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319</v>
      </c>
      <c r="BI40" s="1159">
        <v>14</v>
      </c>
    </row>
    <row customHeight="1" ht="14.699999999999998">
      <c r="Q41" s="295"/>
      <c r="R41" s="380"/>
      <c r="S41" s="2277" t="s">
        <v>88</v>
      </c>
      <c r="T41" s="2213" t="s">
        <v>525</v>
      </c>
      <c r="U41" s="305"/>
      <c r="V41" s="2278" t="s">
        <v>447</v>
      </c>
      <c r="W41" s="2279"/>
      <c r="X41" s="2279"/>
      <c r="Y41" s="2279"/>
      <c r="Z41" s="2279"/>
      <c r="AA41" s="2279"/>
      <c r="AB41" s="2280"/>
      <c r="AC41" s="2281" t="s">
        <v>448</v>
      </c>
      <c r="AD41" s="2332" t="s">
        <v>542</v>
      </c>
      <c r="AE41" s="2295"/>
      <c r="AF41" s="2295"/>
      <c r="AG41" s="2333"/>
      <c r="AH41" s="2332" t="s">
        <v>543</v>
      </c>
      <c r="AI41" s="2295"/>
      <c r="AJ41" s="2295"/>
      <c r="AK41" s="2333"/>
      <c r="AL41" s="2332" t="s">
        <v>544</v>
      </c>
      <c r="AM41" s="2295"/>
      <c r="AN41" s="2295"/>
      <c r="AO41" s="2333"/>
      <c r="AP41" s="2332" t="s">
        <v>529</v>
      </c>
      <c r="AQ41" s="2295"/>
      <c r="AR41" s="2295"/>
      <c r="AS41" s="2333"/>
      <c r="AT41" s="2278" t="s">
        <v>447</v>
      </c>
      <c r="AU41" s="2279"/>
      <c r="AV41" s="2279"/>
      <c r="AW41" s="2279"/>
      <c r="AX41" s="2279"/>
      <c r="AY41" s="2279"/>
      <c r="AZ41" s="2280"/>
      <c r="BA41" s="2281" t="s">
        <v>448</v>
      </c>
      <c r="BB41" s="2284" t="s">
        <v>450</v>
      </c>
      <c r="BC41" s="2131"/>
      <c r="BI41" s="1159">
        <v>14</v>
      </c>
    </row>
    <row customHeight="1" ht="35.699999999999996">
      <c r="Q42" s="295"/>
      <c r="R42" s="380"/>
      <c r="S42" s="2277"/>
      <c r="T42" s="2213"/>
      <c r="U42" s="1035"/>
      <c r="V42" s="2196" t="s">
        <v>530</v>
      </c>
      <c r="W42" s="2197"/>
      <c r="X42" s="2196" t="s">
        <v>531</v>
      </c>
      <c r="Y42" s="2197"/>
      <c r="Z42" s="2298" t="s">
        <v>532</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545</v>
      </c>
      <c r="AU42" s="2197"/>
      <c r="AV42" s="2196" t="s">
        <v>546</v>
      </c>
      <c r="AW42" s="2197"/>
      <c r="AX42" s="2298" t="s">
        <v>532</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155</v>
      </c>
      <c r="C44" s="1374" t="s">
        <v>156</v>
      </c>
      <c r="D44" s="1374" t="s">
        <v>157</v>
      </c>
      <c r="E44" s="1368" t="s">
        <v>455</v>
      </c>
      <c r="F44" s="1368" t="s">
        <v>456</v>
      </c>
      <c r="G44" s="1368" t="s">
        <v>457</v>
      </c>
      <c r="H44" s="1368" t="s">
        <v>458</v>
      </c>
      <c r="I44" s="1368" t="s">
        <v>459</v>
      </c>
      <c r="J44" s="1368" t="s">
        <v>460</v>
      </c>
      <c r="K44" s="1368" t="s">
        <v>461</v>
      </c>
      <c r="L44" s="1368" t="s">
        <v>436</v>
      </c>
      <c r="Q44" s="295"/>
      <c r="R44" s="380"/>
      <c r="S44" s="2277"/>
      <c r="T44" s="2213"/>
      <c r="U44" s="306"/>
      <c r="V44" s="1483" t="s">
        <v>496</v>
      </c>
      <c r="W44" s="1483" t="s">
        <v>497</v>
      </c>
      <c r="X44" s="1483" t="s">
        <v>496</v>
      </c>
      <c r="Y44" s="1483" t="s">
        <v>497</v>
      </c>
      <c r="Z44" s="1493" t="s">
        <v>464</v>
      </c>
      <c r="AA44" s="2274" t="s">
        <v>465</v>
      </c>
      <c r="AB44" s="2275"/>
      <c r="AC44" s="2283"/>
      <c r="AD44" s="2337"/>
      <c r="AE44" s="2338"/>
      <c r="AF44" s="2338"/>
      <c r="AG44" s="2339"/>
      <c r="AH44" s="2337"/>
      <c r="AI44" s="2338"/>
      <c r="AJ44" s="2338"/>
      <c r="AK44" s="2339"/>
      <c r="AL44" s="2337"/>
      <c r="AM44" s="2338"/>
      <c r="AN44" s="2338"/>
      <c r="AO44" s="2339"/>
      <c r="AP44" s="2337"/>
      <c r="AQ44" s="2338"/>
      <c r="AR44" s="2338"/>
      <c r="AS44" s="2339"/>
      <c r="AT44" s="1483" t="s">
        <v>496</v>
      </c>
      <c r="AU44" s="1483" t="s">
        <v>497</v>
      </c>
      <c r="AV44" s="1483" t="s">
        <v>496</v>
      </c>
      <c r="AW44" s="1483" t="s">
        <v>497</v>
      </c>
      <c r="AX44" s="1493" t="s">
        <v>464</v>
      </c>
      <c r="AY44" s="2274" t="s">
        <v>465</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119</v>
      </c>
      <c r="T45" s="1259" t="s">
        <v>103</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294</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143</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294</v>
      </c>
      <c r="B47" s="1367" t="s">
        <v>295</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415</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416</v>
      </c>
      <c r="BE47" s="504"/>
      <c r="BF47" s="504" t="str">
        <f>IF(T47="","",T47)</f>
        <v>Территория действия тарифа</v>
      </c>
      <c r="BG47" s="504"/>
      <c r="BH47" s="504"/>
      <c r="BI47" s="1159">
        <v>21</v>
      </c>
    </row>
    <row customHeight="1" ht="35.699999999999996">
      <c r="A48" s="1367" t="s">
        <v>294</v>
      </c>
      <c r="B48" s="1367" t="s">
        <v>295</v>
      </c>
      <c r="C48" s="1367" t="s">
        <v>296</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534</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535</v>
      </c>
      <c r="BE48" s="504"/>
      <c r="BF48" s="504" t="str">
        <f>IF(T48="","",T48)</f>
        <v>Наименование централизованной системы водоотведения</v>
      </c>
      <c r="BG48" s="504"/>
      <c r="BH48" s="504"/>
      <c r="BI48" s="1159">
        <v>34</v>
      </c>
    </row>
    <row s="1646" customFormat="1" customHeight="1" ht="0">
      <c r="A49" s="1347" t="s">
        <v>294</v>
      </c>
      <c r="B49" s="1347" t="s">
        <v>295</v>
      </c>
      <c r="C49" s="1347" t="s">
        <v>296</v>
      </c>
      <c r="D49" s="1347" t="s">
        <v>547</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420</v>
      </c>
      <c r="BE49" s="504"/>
      <c r="BF49" s="504" t="str">
        <f>IF(T49="","",T49)</f>
        <v/>
      </c>
      <c r="BG49" s="504"/>
      <c r="BH49" s="504"/>
      <c r="BI49" s="515">
        <v>0</v>
      </c>
    </row>
    <row s="1646" customFormat="1" customHeight="1" ht="0">
      <c r="A50" s="1347" t="s">
        <v>294</v>
      </c>
      <c r="B50" s="1347" t="s">
        <v>295</v>
      </c>
      <c r="C50" s="1347" t="s">
        <v>296</v>
      </c>
      <c r="D50" s="1347" t="s">
        <v>547</v>
      </c>
      <c r="E50" s="2263"/>
      <c r="F50" s="2263"/>
      <c r="G50" s="2263"/>
      <c r="H50" s="2263"/>
      <c r="I50" s="2260" t="str">
        <f>S49&amp;".1"</f>
        <v>.1</v>
      </c>
      <c r="J50" s="1347"/>
      <c r="K50" s="1347"/>
      <c r="L50" s="1350" t="s">
        <v>421</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294</v>
      </c>
      <c r="B51" s="1347" t="s">
        <v>295</v>
      </c>
      <c r="C51" s="1347" t="s">
        <v>296</v>
      </c>
      <c r="D51" s="1347" t="s">
        <v>547</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294</v>
      </c>
      <c r="B52" s="1367" t="s">
        <v>295</v>
      </c>
      <c r="C52" s="1367" t="s">
        <v>296</v>
      </c>
      <c r="D52" s="1367" t="s">
        <v>547</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62</v>
      </c>
      <c r="AB52" s="1738"/>
      <c r="AC52" s="1473" t="s">
        <v>62</v>
      </c>
      <c r="AD52" s="2189" t="s">
        <v>62</v>
      </c>
      <c r="AE52" s="2330"/>
      <c r="AF52" s="2209">
        <v>1</v>
      </c>
      <c r="AG52" s="2367"/>
      <c r="AH52" s="2111" t="s">
        <v>62</v>
      </c>
      <c r="AI52" s="2330"/>
      <c r="AJ52" s="2209">
        <v>1</v>
      </c>
      <c r="AK52" s="2331" t="s">
        <v>22</v>
      </c>
      <c r="AL52" s="2111" t="s">
        <v>62</v>
      </c>
      <c r="AM52" s="2196"/>
      <c r="AN52" s="2209">
        <v>1</v>
      </c>
      <c r="AO52" s="2361"/>
      <c r="AP52" s="2362" t="s">
        <v>62</v>
      </c>
      <c r="AQ52" s="315"/>
      <c r="AR52" s="1490">
        <v>1</v>
      </c>
      <c r="AS52" s="1496" t="s">
        <v>22</v>
      </c>
      <c r="AT52" s="755"/>
      <c r="AU52" s="1261"/>
      <c r="AV52" s="755"/>
      <c r="AW52" s="1261"/>
      <c r="AX52" s="1738"/>
      <c r="AY52" s="1473" t="s">
        <v>62</v>
      </c>
      <c r="AZ52" s="1738"/>
      <c r="BA52" s="1473" t="s">
        <v>62</v>
      </c>
      <c r="BB52" s="1352"/>
      <c r="BC52" s="2257" t="s">
        <v>519</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520</v>
      </c>
      <c r="AT53" s="1397"/>
      <c r="AU53" s="1500"/>
      <c r="AV53" s="1397"/>
      <c r="AW53" s="1500"/>
      <c r="AX53" s="1397"/>
      <c r="AY53" s="1397"/>
      <c r="AZ53" s="1397"/>
      <c r="BA53" s="1397"/>
      <c r="BB53" s="1401"/>
      <c r="BC53" s="2258"/>
      <c r="BE53" s="504"/>
      <c r="BF53" s="504"/>
      <c r="BG53" s="504"/>
      <c r="BH53" s="504"/>
      <c r="BI53" s="1159">
        <v>11</v>
      </c>
    </row>
    <row customHeight="1" ht="11.549999999999999">
      <c r="A54" s="1367" t="s">
        <v>294</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540</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294</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541</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294</v>
      </c>
      <c r="B56" s="1367" t="s">
        <v>295</v>
      </c>
      <c r="C56" s="1367" t="s">
        <v>296</v>
      </c>
      <c r="D56" s="1367" t="s">
        <v>547</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523</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294</v>
      </c>
      <c r="B57" s="1367" t="s">
        <v>295</v>
      </c>
      <c r="C57" s="1367" t="s">
        <v>296</v>
      </c>
      <c r="D57" s="1367" t="s">
        <v>547</v>
      </c>
      <c r="E57" s="2263"/>
      <c r="F57" s="2263"/>
      <c r="G57" s="2263"/>
      <c r="H57" s="2263"/>
      <c r="I57" s="2290"/>
      <c r="J57" s="2260"/>
      <c r="K57" s="1367"/>
      <c r="L57" s="1368"/>
      <c r="P57" s="2261"/>
      <c r="Q57" s="2261"/>
      <c r="R57" s="360"/>
      <c r="S57" s="1282"/>
      <c r="T57" s="291" t="s">
        <v>486</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294</v>
      </c>
      <c r="B58" s="1347" t="s">
        <v>295</v>
      </c>
      <c r="C58" s="1347" t="s">
        <v>296</v>
      </c>
      <c r="D58" s="1347" t="s">
        <v>547</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294</v>
      </c>
      <c r="B59" s="1347" t="s">
        <v>295</v>
      </c>
      <c r="C59" s="1347" t="s">
        <v>296</v>
      </c>
      <c r="D59" s="1347" t="s">
        <v>547</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294</v>
      </c>
      <c r="B60" s="1347" t="s">
        <v>295</v>
      </c>
      <c r="C60" s="1347" t="s">
        <v>296</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294</v>
      </c>
      <c r="B61" s="1347" t="s">
        <v>295</v>
      </c>
      <c r="C61" s="1318"/>
      <c r="D61" s="1318"/>
      <c r="E61" s="2263"/>
      <c r="F61" s="2262"/>
      <c r="G61" s="1318"/>
      <c r="H61" s="1318"/>
      <c r="I61" s="1318"/>
      <c r="J61" s="1318"/>
      <c r="K61" s="1318"/>
      <c r="L61" s="1498"/>
      <c r="M61" s="1325"/>
      <c r="N61" s="1325"/>
      <c r="P61" s="1320"/>
      <c r="Q61" s="1321"/>
      <c r="R61" s="1320"/>
      <c r="S61" s="1326"/>
      <c r="T61" s="1329" t="s">
        <v>433</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294</v>
      </c>
      <c r="B62" s="1347"/>
      <c r="C62" s="1347"/>
      <c r="D62" s="1347"/>
      <c r="E62" s="2262"/>
      <c r="F62" s="1347"/>
      <c r="G62" s="1347"/>
      <c r="H62" s="1347"/>
      <c r="I62" s="1347"/>
      <c r="J62" s="1347"/>
      <c r="K62" s="1347"/>
      <c r="L62" s="1350"/>
      <c r="M62" s="1325"/>
      <c r="N62" s="1325"/>
      <c r="O62" s="522"/>
      <c r="P62" s="384"/>
      <c r="Q62" s="1348"/>
      <c r="R62" s="384"/>
      <c r="S62" s="1326"/>
      <c r="T62" s="1329" t="s">
        <v>434</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466</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4.699999999999998">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14</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4.699999999999998">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14</v>
      </c>
    </row>
    <row customHeight="1" ht="14.699999999999998">
      <c r="O68" s="541"/>
      <c r="BI68" s="1159">
        <v>14</v>
      </c>
    </row>
    <row customHeight="1" ht="14.25" hidden="1">
      <c r="A69" s="1164" t="s">
        <v>82</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A33301-2C67-5D7E-03B1-4408C0CCE5DF}" mc:Ignorable="x14ac xr xr2 xr3">
  <sheetPr>
    <tabColor rgb="FFCCCCFF"/>
    <pageSetUpPr fitToPage="1"/>
  </sheetPr>
  <dimension ref="A1:AC35"/>
  <sheetViews>
    <sheetView showGridLines="0" zoomScale="90" workbookViewId="0">
      <pane xSplit="6" ySplit="11" topLeftCell="G12" activePane="bottomRight" state="frozen"/>
      <selection pane="bottomLeft" activeCell="A12" sqref="A12"/>
      <selection pane="topRight" activeCell="G1" sqref="G1"/>
      <selection pane="bottomRight" activeCell="G18" sqref="G18"/>
    </sheetView>
  </sheetViews>
  <sheetFormatPr defaultColWidth="9.140625" customHeight="1" defaultRowHeight="14.25"/>
  <cols>
    <col min="1" max="1" style="1639" width="8.00390625" hidden="1" customWidth="1"/>
    <col min="2" max="2" style="1370" width="6.00390625" hidden="1" customWidth="1"/>
    <col min="3" max="3" style="1639" width="3.00390625" customWidth="1"/>
    <col min="4" max="4" style="1846" width="3.00390625" customWidth="1"/>
    <col min="5" max="5" style="1639" width="6.00390625" customWidth="1"/>
    <col min="6" max="6" style="1639" width="2.7109375" hidden="1" customWidth="1"/>
    <col min="7" max="7" style="1639" width="46.7109375" customWidth="1"/>
    <col min="8" max="8" style="1639" width="42.00390625" customWidth="1"/>
    <col min="9" max="9" style="1639" width="14.00390625" customWidth="1"/>
    <col min="10" max="10" style="1628" width="3.00390625" customWidth="1"/>
    <col min="11" max="13" style="1628" width="9.140625" hidden="1"/>
    <col min="14" max="14" style="1628" width="25.7109375" hidden="1" customWidth="1"/>
    <col min="15" max="15" style="1628" width="14.421875" hidden="1" customWidth="1"/>
    <col min="16" max="19" style="229" width="9.140625" hidden="1"/>
    <col min="20" max="27" style="1639" width="9.140625" hidden="1"/>
    <col min="28" max="28" style="1639" width="8.00390625" customWidth="1"/>
    <col min="29" max="29" style="1639" width="9.140625" hidden="1"/>
  </cols>
  <sheetData>
    <row s="1646" customFormat="1" customHeight="1" ht="5.25" hidden="1">
      <c r="A1" s="500"/>
      <c r="B1" s="515"/>
      <c r="C1" s="515"/>
      <c r="D1" s="225"/>
      <c r="F1" s="515"/>
      <c r="G1" s="251" t="s">
        <v>83</v>
      </c>
      <c r="H1" s="498" t="s">
        <v>84</v>
      </c>
      <c r="I1" s="231" t="s">
        <v>85</v>
      </c>
      <c r="J1" s="251" t="s">
        <v>83</v>
      </c>
      <c r="K1" s="251"/>
      <c r="L1" s="251"/>
      <c r="M1" s="251"/>
      <c r="N1" s="252"/>
      <c r="O1" s="251"/>
      <c r="P1" s="251"/>
      <c r="Q1" s="251"/>
      <c r="R1" s="251"/>
      <c r="S1" s="251"/>
      <c r="T1" s="231"/>
      <c r="U1" s="231"/>
      <c r="V1" s="231"/>
      <c r="W1" s="231"/>
      <c r="X1" s="231"/>
      <c r="Y1" s="231"/>
      <c r="Z1" s="231"/>
      <c r="AA1" s="231"/>
      <c r="AB1" s="231"/>
      <c r="AC1" s="156" t="s">
        <v>14</v>
      </c>
    </row>
    <row s="1416" customFormat="1" customHeight="1" ht="11.25">
      <c r="A2" s="835"/>
      <c r="B2" s="232"/>
      <c r="C2" s="232"/>
      <c r="D2" s="233"/>
      <c r="E2" s="232"/>
      <c r="F2" s="232"/>
      <c r="G2" s="232"/>
      <c r="H2" s="232"/>
      <c r="I2" s="232"/>
      <c r="J2" s="251"/>
      <c r="K2" s="251"/>
      <c r="L2" s="251"/>
      <c r="M2" s="251"/>
      <c r="N2" s="252"/>
      <c r="O2" s="251"/>
      <c r="P2" s="234"/>
      <c r="Q2" s="234"/>
      <c r="R2" s="234"/>
      <c r="S2" s="234"/>
      <c r="T2" s="233"/>
      <c r="U2" s="233"/>
      <c r="V2" s="233"/>
      <c r="W2" s="233"/>
      <c r="X2" s="233"/>
      <c r="Y2" s="233"/>
      <c r="Z2" s="233"/>
      <c r="AA2" s="233"/>
      <c r="AB2" s="233"/>
      <c r="AC2" s="235">
        <v>11</v>
      </c>
    </row>
    <row s="1823" customFormat="1" customHeight="1" ht="3">
      <c r="A3" s="762"/>
      <c r="B3" s="421"/>
      <c r="C3" s="762"/>
      <c r="D3" s="168"/>
      <c r="E3" s="107"/>
      <c r="F3" s="513"/>
      <c r="G3" s="107"/>
      <c r="H3" s="107"/>
      <c r="I3" s="170"/>
      <c r="J3" s="251"/>
      <c r="K3" s="159"/>
      <c r="L3" s="159"/>
      <c r="M3" s="159"/>
      <c r="N3" s="230"/>
      <c r="O3" s="159"/>
      <c r="P3" s="229"/>
      <c r="Q3" s="229"/>
      <c r="R3" s="229"/>
      <c r="S3" s="229"/>
      <c r="AC3" s="120">
        <v>3</v>
      </c>
    </row>
    <row s="1823" customFormat="1" customHeight="1" ht="27.299999999999997">
      <c r="A4" s="762"/>
      <c r="B4" s="421"/>
      <c r="C4" s="762"/>
      <c r="D4" s="168"/>
      <c r="E4" s="2104" t="str">
        <f>NameTemplatesInListMO</f>
        <v>Перечень муниципальных районов и муниципальных образований (территорий оказания услуг)</v>
      </c>
      <c r="F4" s="2104"/>
      <c r="G4" s="2104"/>
      <c r="H4" s="2104"/>
      <c r="I4" s="2104"/>
      <c r="J4" s="251"/>
      <c r="K4" s="159"/>
      <c r="L4" s="159"/>
      <c r="M4" s="159"/>
      <c r="N4" s="230"/>
      <c r="O4" s="159"/>
      <c r="P4" s="229"/>
      <c r="Q4" s="229"/>
      <c r="R4" s="229"/>
      <c r="S4" s="229"/>
      <c r="AC4" s="120">
        <v>26</v>
      </c>
    </row>
    <row s="1823" customFormat="1" customHeight="1" ht="3">
      <c r="A5" s="762"/>
      <c r="B5" s="421"/>
      <c r="C5" s="762"/>
      <c r="D5" s="168"/>
      <c r="E5" s="107"/>
      <c r="F5" s="513"/>
      <c r="G5" s="171"/>
      <c r="H5" s="171"/>
      <c r="I5" s="172"/>
      <c r="J5" s="159"/>
      <c r="K5" s="159"/>
      <c r="L5" s="159"/>
      <c r="M5" s="159"/>
      <c r="N5" s="230"/>
      <c r="O5" s="159"/>
      <c r="P5" s="229"/>
      <c r="Q5" s="229"/>
      <c r="R5" s="229"/>
      <c r="S5" s="229"/>
      <c r="AC5" s="120">
        <v>3</v>
      </c>
    </row>
    <row s="1823" customFormat="1" customHeight="1" ht="20.25" hidden="1">
      <c r="A6" s="841"/>
      <c r="B6" s="837"/>
      <c r="C6" s="173"/>
      <c r="D6" s="168"/>
      <c r="E6" s="783"/>
      <c r="F6" s="783"/>
      <c r="G6" s="171"/>
      <c r="H6" s="174"/>
      <c r="I6" s="174"/>
      <c r="J6" s="159"/>
      <c r="K6" s="159"/>
      <c r="L6" s="159"/>
      <c r="M6" s="159"/>
      <c r="N6" s="230"/>
      <c r="O6" s="159"/>
      <c r="P6" s="229"/>
      <c r="Q6" s="229"/>
      <c r="R6" s="229"/>
      <c r="S6" s="229"/>
      <c r="AC6" s="120">
        <v>0</v>
      </c>
    </row>
    <row customHeight="1" ht="25.5" hidden="1">
      <c r="AC7" s="87">
        <v>0</v>
      </c>
    </row>
    <row s="1823" customFormat="1" customHeight="1" ht="14.699999999999998">
      <c r="A8" s="762"/>
      <c r="B8" s="421"/>
      <c r="C8" s="762"/>
      <c r="D8" s="168"/>
      <c r="E8" s="2105" t="s">
        <v>86</v>
      </c>
      <c r="F8" s="2106"/>
      <c r="G8" s="2107"/>
      <c r="H8" s="2108" t="s">
        <v>87</v>
      </c>
      <c r="I8" s="2108"/>
      <c r="J8" s="159"/>
      <c r="K8" s="159"/>
      <c r="L8" s="159"/>
      <c r="M8" s="159"/>
      <c r="N8" s="230"/>
      <c r="O8" s="159"/>
      <c r="P8" s="229"/>
      <c r="Q8" s="229"/>
      <c r="R8" s="229"/>
      <c r="S8" s="229"/>
      <c r="AC8" s="120">
        <v>14</v>
      </c>
    </row>
    <row s="1823" customFormat="1" customHeight="1" ht="21">
      <c r="A9" s="762"/>
      <c r="B9" s="421"/>
      <c r="C9" s="762"/>
      <c r="D9" s="168"/>
      <c r="E9" s="781" t="s">
        <v>88</v>
      </c>
      <c r="F9" s="781"/>
      <c r="G9" s="176" t="s">
        <v>89</v>
      </c>
      <c r="H9" s="176" t="s">
        <v>89</v>
      </c>
      <c r="I9" s="176" t="s">
        <v>85</v>
      </c>
      <c r="J9" s="159"/>
      <c r="K9" s="159"/>
      <c r="L9" s="159"/>
      <c r="M9" s="159"/>
      <c r="N9" s="230"/>
      <c r="O9" s="159"/>
      <c r="P9" s="229"/>
      <c r="Q9" s="229"/>
      <c r="R9" s="229"/>
      <c r="S9" s="229"/>
      <c r="AC9" s="120">
        <v>20</v>
      </c>
    </row>
    <row customHeight="1" ht="11.549999999999999">
      <c r="D10" s="180"/>
      <c r="E10" s="782" t="s">
        <v>90</v>
      </c>
      <c r="F10" s="782"/>
      <c r="G10" s="227" t="s">
        <v>91</v>
      </c>
      <c r="H10" s="227" t="s">
        <v>92</v>
      </c>
      <c r="I10" s="227" t="s">
        <v>93</v>
      </c>
      <c r="J10" s="190"/>
      <c r="K10" s="190"/>
      <c r="L10" s="190"/>
      <c r="M10" s="190"/>
      <c r="N10" s="175"/>
      <c r="O10" s="190"/>
      <c r="P10" s="228"/>
      <c r="Q10" s="228"/>
      <c r="R10" s="228"/>
      <c r="S10" s="228"/>
      <c r="AC10" s="87">
        <v>11</v>
      </c>
    </row>
    <row s="1823" customFormat="1" customHeight="1" ht="1.05">
      <c r="A11" s="762"/>
      <c r="B11" s="421"/>
      <c r="C11" s="762"/>
      <c r="D11" s="168"/>
      <c r="E11" s="794"/>
      <c r="F11" s="794"/>
      <c r="G11" s="177"/>
      <c r="H11" s="177"/>
      <c r="I11" s="179"/>
      <c r="J11" s="253" t="s">
        <v>94</v>
      </c>
      <c r="K11" s="159"/>
      <c r="L11" s="159"/>
      <c r="M11" s="159" t="s">
        <v>95</v>
      </c>
      <c r="N11" s="230" t="s">
        <v>96</v>
      </c>
      <c r="O11" s="159" t="s">
        <v>97</v>
      </c>
      <c r="P11" s="229"/>
      <c r="Q11" s="229"/>
      <c r="R11" s="229"/>
      <c r="S11" s="229"/>
      <c r="AC11" s="120">
        <v>1</v>
      </c>
    </row>
    <row s="1823" customFormat="1" customHeight="1" ht="15">
      <c r="A12" s="2103">
        <v>1</v>
      </c>
      <c r="B12" s="421"/>
      <c r="C12" s="762"/>
      <c r="D12" s="786"/>
      <c r="E12" s="223">
        <f>A12</f>
        <v>1</v>
      </c>
      <c r="F12" s="806" t="s">
        <v>98</v>
      </c>
      <c r="G12" s="544" t="str">
        <f>"Территория "&amp;E12</f>
        <v>Территория 1</v>
      </c>
      <c r="H12" s="796"/>
      <c r="I12" s="796"/>
      <c r="J12" s="793"/>
      <c r="K12" s="504"/>
      <c r="L12" s="504"/>
      <c r="M12" s="504"/>
      <c r="N12" s="230"/>
      <c r="O12" s="504"/>
      <c r="P12" s="229"/>
      <c r="Q12" s="229"/>
      <c r="R12" s="229"/>
      <c r="S12" s="229"/>
      <c r="AC12" s="511">
        <v>14</v>
      </c>
    </row>
    <row s="1854" customFormat="1" customHeight="1" ht="15.75">
      <c r="A13" s="2103"/>
      <c r="B13" s="421">
        <v>1</v>
      </c>
      <c r="C13" s="421"/>
      <c r="D13" s="804"/>
      <c r="E13" s="784" t="str">
        <f>A12&amp;"."&amp;B13</f>
        <v>1.1</v>
      </c>
      <c r="F13" s="799" t="s">
        <v>99</v>
      </c>
      <c r="G13" s="797" t="s">
        <v>100</v>
      </c>
      <c r="H13" s="797" t="s">
        <v>100</v>
      </c>
      <c r="I13" s="795" t="s">
        <v>101</v>
      </c>
      <c r="J13" s="504">
        <f>MERGEVALUE(G13)</f>
      </c>
      <c r="K13" s="515"/>
      <c r="L13" s="515"/>
      <c r="M13" s="504" t="str">
        <f t="array" ref="M13:M13">IF(ISERROR(MATCH(MID(N13,1,250),MID(note_ter,1,250),0)),"n","y")</f>
        <v>n</v>
      </c>
      <c r="N13" s="515"/>
      <c r="O13" s="504" t="str">
        <f>H13&amp;"("&amp;I13&amp;")"</f>
        <v>город Нижний Новгород(22701000)</v>
      </c>
      <c r="P13" s="421"/>
      <c r="Q13" s="421"/>
      <c r="R13" s="424"/>
      <c r="S13" s="421"/>
      <c r="T13" s="421"/>
      <c r="U13" s="421"/>
      <c r="V13" s="426"/>
      <c r="W13" s="426"/>
      <c r="X13" s="423"/>
      <c r="Y13" s="423"/>
      <c r="Z13" s="423"/>
      <c r="AA13" s="423"/>
      <c r="AB13" s="423"/>
      <c r="AC13" s="427">
        <v>15</v>
      </c>
    </row>
    <row s="1854" customFormat="1" customHeight="1" ht="15.75">
      <c r="A14" s="2103"/>
      <c r="B14" s="421"/>
      <c r="C14" s="416"/>
      <c r="D14" s="805"/>
      <c r="E14" s="425"/>
      <c r="F14" s="181"/>
      <c r="G14" s="419" t="s">
        <v>102</v>
      </c>
      <c r="H14" s="191"/>
      <c r="I14" s="428"/>
      <c r="J14" s="515"/>
      <c r="K14" s="515"/>
      <c r="L14" s="515"/>
      <c r="M14" s="515"/>
      <c r="N14" s="504"/>
      <c r="O14" s="515"/>
      <c r="P14" s="421"/>
      <c r="Q14" s="421"/>
      <c r="R14" s="424"/>
      <c r="S14" s="421"/>
      <c r="T14" s="421"/>
      <c r="U14" s="421"/>
      <c r="V14" s="426"/>
      <c r="W14" s="426"/>
      <c r="X14" s="423"/>
      <c r="Y14" s="423"/>
      <c r="Z14" s="423"/>
      <c r="AA14" s="423"/>
      <c r="AB14" s="423"/>
      <c r="AC14" s="427">
        <v>15</v>
      </c>
    </row>
    <row customHeight="1" ht="15">
      <c r="A15" s="2221" t="s">
        <v>103</v>
      </c>
      <c r="B15" s="1164"/>
      <c r="C15" s="805" t="s">
        <v>104</v>
      </c>
      <c r="D15" s="1822"/>
      <c r="E15" s="1809" t="str">
        <f>A15</f>
        <v>2</v>
      </c>
      <c r="F15" s="808" t="s">
        <v>105</v>
      </c>
      <c r="G15" s="544" t="str">
        <f>"Территория "&amp;E15</f>
        <v>Территория 2</v>
      </c>
      <c r="H15" s="796"/>
      <c r="I15" s="796"/>
      <c r="J15" s="793"/>
      <c r="K15" s="1628"/>
      <c r="L15" s="1628"/>
      <c r="M15" s="1628"/>
      <c r="N15" s="230"/>
      <c r="O15" s="1628"/>
      <c r="P15" s="229"/>
      <c r="Q15" s="229"/>
      <c r="R15" s="229"/>
      <c r="S15" s="229"/>
      <c r="T15" s="1823"/>
      <c r="U15" s="1823"/>
      <c r="V15" s="1823"/>
      <c r="W15" s="1823"/>
      <c r="X15" s="1823"/>
      <c r="Y15" s="1823"/>
      <c r="Z15" s="1823"/>
      <c r="AA15" s="1823"/>
      <c r="AB15" s="1823"/>
      <c r="AC15" s="1823"/>
    </row>
    <row customHeight="1" ht="15">
      <c r="A16" s="2221"/>
      <c r="B16" s="1164">
        <v>1</v>
      </c>
      <c r="C16" s="1164"/>
      <c r="D16" s="804"/>
      <c r="E16" s="1817" t="str">
        <f>A15&amp;"."&amp;B16</f>
        <v>2.1</v>
      </c>
      <c r="F16" s="807" t="s">
        <v>106</v>
      </c>
      <c r="G16" s="797" t="s">
        <v>107</v>
      </c>
      <c r="H16" s="797" t="s">
        <v>107</v>
      </c>
      <c r="I16" s="795" t="s">
        <v>108</v>
      </c>
      <c r="J16" s="1628"/>
      <c r="K16" s="1640"/>
      <c r="L16" s="1640"/>
      <c r="M16" s="1628" t="str">
        <f t="array" ref="M16:M16">IF(ISERROR(MATCH(MID(N16,1,250),MID(note_ter,1,250),0)),"n","y")</f>
        <v>n</v>
      </c>
      <c r="N16" s="1640"/>
      <c r="O16" s="1628" t="str">
        <f>H16&amp;"("&amp;I16&amp;")"</f>
        <v>город Арзамас(22703000)</v>
      </c>
      <c r="P16" s="1164"/>
      <c r="Q16" s="1164"/>
      <c r="R16" s="424"/>
      <c r="S16" s="1164"/>
      <c r="T16" s="1164"/>
      <c r="U16" s="1164"/>
      <c r="V16" s="426"/>
      <c r="W16" s="426"/>
      <c r="X16" s="423"/>
      <c r="Y16" s="423"/>
      <c r="Z16" s="423"/>
      <c r="AA16" s="423"/>
      <c r="AB16" s="423"/>
      <c r="AC16" s="423"/>
    </row>
    <row customHeight="1" ht="15">
      <c r="A17" s="2221"/>
      <c r="B17" s="1164"/>
      <c r="C17" s="416"/>
      <c r="D17" s="805"/>
      <c r="E17" s="425"/>
      <c r="F17" s="181"/>
      <c r="G17" s="419" t="s">
        <v>102</v>
      </c>
      <c r="H17" s="191"/>
      <c r="I17" s="428"/>
      <c r="J17" s="1640"/>
      <c r="K17" s="1640"/>
      <c r="L17" s="1640"/>
      <c r="M17" s="1640"/>
      <c r="N17" s="1628"/>
      <c r="O17" s="1640"/>
      <c r="P17" s="1164"/>
      <c r="Q17" s="1164"/>
      <c r="R17" s="424"/>
      <c r="S17" s="1164"/>
      <c r="T17" s="1164"/>
      <c r="U17" s="1164"/>
      <c r="V17" s="426"/>
      <c r="W17" s="426"/>
      <c r="X17" s="423"/>
      <c r="Y17" s="423"/>
      <c r="Z17" s="423"/>
      <c r="AA17" s="423"/>
      <c r="AB17" s="423"/>
      <c r="AC17" s="423"/>
    </row>
    <row customHeight="1" ht="15">
      <c r="A18" s="2221" t="s">
        <v>90</v>
      </c>
      <c r="B18" s="1164"/>
      <c r="C18" s="805" t="s">
        <v>104</v>
      </c>
      <c r="D18" s="1822"/>
      <c r="E18" s="1809" t="str">
        <f>A18</f>
        <v>3</v>
      </c>
      <c r="F18" s="808" t="s">
        <v>109</v>
      </c>
      <c r="G18" s="544" t="str">
        <f>"Территория "&amp;E18</f>
        <v>Территория 3</v>
      </c>
      <c r="H18" s="796"/>
      <c r="I18" s="796"/>
      <c r="J18" s="793"/>
      <c r="K18" s="1628"/>
      <c r="L18" s="1628"/>
      <c r="M18" s="1628"/>
      <c r="N18" s="230"/>
      <c r="O18" s="1628"/>
      <c r="P18" s="229"/>
      <c r="Q18" s="229"/>
      <c r="R18" s="229"/>
      <c r="S18" s="229"/>
      <c r="T18" s="1823"/>
      <c r="U18" s="1823"/>
      <c r="V18" s="1823"/>
      <c r="W18" s="1823"/>
      <c r="X18" s="1823"/>
      <c r="Y18" s="1823"/>
      <c r="Z18" s="1823"/>
      <c r="AA18" s="1823"/>
      <c r="AB18" s="1823"/>
      <c r="AC18" s="1823"/>
    </row>
    <row customHeight="1" ht="15">
      <c r="A19" s="2221"/>
      <c r="B19" s="1164">
        <v>1</v>
      </c>
      <c r="C19" s="1164"/>
      <c r="D19" s="804"/>
      <c r="E19" s="1817" t="str">
        <f>A18&amp;"."&amp;B19</f>
        <v>3.1</v>
      </c>
      <c r="F19" s="807" t="s">
        <v>110</v>
      </c>
      <c r="G19" s="797" t="s">
        <v>111</v>
      </c>
      <c r="H19" s="797" t="s">
        <v>111</v>
      </c>
      <c r="I19" s="795" t="s">
        <v>112</v>
      </c>
      <c r="J19" s="1628"/>
      <c r="K19" s="1640"/>
      <c r="L19" s="1640"/>
      <c r="M19" s="1628" t="str">
        <f t="array" ref="M19:M19">IF(ISERROR(MATCH(MID(N19,1,250),MID(note_ter,1,250),0)),"n","y")</f>
        <v>n</v>
      </c>
      <c r="N19" s="1640"/>
      <c r="O19" s="1628" t="str">
        <f>H19&amp;"("&amp;I19&amp;")"</f>
        <v>город Чкаловск(22755000)</v>
      </c>
      <c r="P19" s="1164"/>
      <c r="Q19" s="1164"/>
      <c r="R19" s="424"/>
      <c r="S19" s="1164"/>
      <c r="T19" s="1164"/>
      <c r="U19" s="1164"/>
      <c r="V19" s="426"/>
      <c r="W19" s="426"/>
      <c r="X19" s="423"/>
      <c r="Y19" s="423"/>
      <c r="Z19" s="423"/>
      <c r="AA19" s="423"/>
      <c r="AB19" s="423"/>
      <c r="AC19" s="423"/>
    </row>
    <row customHeight="1" ht="15">
      <c r="A20" s="2221"/>
      <c r="B20" s="1164"/>
      <c r="C20" s="416"/>
      <c r="D20" s="805"/>
      <c r="E20" s="425"/>
      <c r="F20" s="181"/>
      <c r="G20" s="419" t="s">
        <v>102</v>
      </c>
      <c r="H20" s="191"/>
      <c r="I20" s="428"/>
      <c r="J20" s="1640"/>
      <c r="K20" s="1640"/>
      <c r="L20" s="1640"/>
      <c r="M20" s="1640"/>
      <c r="N20" s="1628"/>
      <c r="O20" s="1640"/>
      <c r="P20" s="1164"/>
      <c r="Q20" s="1164"/>
      <c r="R20" s="424"/>
      <c r="S20" s="1164"/>
      <c r="T20" s="1164"/>
      <c r="U20" s="1164"/>
      <c r="V20" s="426"/>
      <c r="W20" s="426"/>
      <c r="X20" s="423"/>
      <c r="Y20" s="423"/>
      <c r="Z20" s="423"/>
      <c r="AA20" s="423"/>
      <c r="AB20" s="423"/>
      <c r="AC20" s="423"/>
    </row>
    <row s="1823" customFormat="1" customHeight="1" ht="14.699999999999998">
      <c r="A21" s="762"/>
      <c r="B21" s="421"/>
      <c r="C21" s="762"/>
      <c r="D21" s="786"/>
      <c r="E21" s="798"/>
      <c r="F21" s="182"/>
      <c r="G21" s="420" t="s">
        <v>113</v>
      </c>
      <c r="H21" s="182"/>
      <c r="I21" s="183"/>
      <c r="J21" s="253"/>
      <c r="K21" s="159"/>
      <c r="L21" s="159"/>
      <c r="M21" s="159"/>
      <c r="N21" s="230" t="s">
        <v>114</v>
      </c>
      <c r="O21" s="159"/>
      <c r="P21" s="229"/>
      <c r="Q21" s="229"/>
      <c r="R21" s="229"/>
      <c r="S21" s="229"/>
      <c r="AC21" s="120">
        <v>14</v>
      </c>
    </row>
    <row s="1823" customFormat="1" customHeight="1" ht="22.049999999999997">
      <c r="A22" s="762"/>
      <c r="B22" s="421"/>
      <c r="C22" s="762"/>
      <c r="D22" s="169"/>
      <c r="E22" s="184"/>
      <c r="F22" s="184"/>
      <c r="G22" s="184"/>
      <c r="H22" s="184"/>
      <c r="I22" s="184"/>
      <c r="J22" s="159"/>
      <c r="K22" s="159"/>
      <c r="L22" s="159"/>
      <c r="M22" s="159"/>
      <c r="N22" s="230"/>
      <c r="O22" s="159"/>
      <c r="P22" s="229"/>
      <c r="Q22" s="229"/>
      <c r="R22" s="229"/>
      <c r="S22" s="229"/>
      <c r="AC22" s="120">
        <v>21</v>
      </c>
    </row>
    <row s="1823" customFormat="1" customHeight="1" ht="14.699999999999998">
      <c r="A23" s="762"/>
      <c r="B23" s="421"/>
      <c r="C23" s="762"/>
      <c r="D23" s="169"/>
      <c r="E23" s="87"/>
      <c r="F23" s="762"/>
      <c r="G23" s="87"/>
      <c r="H23" s="87"/>
      <c r="I23" s="87"/>
      <c r="J23" s="159"/>
      <c r="K23" s="159"/>
      <c r="L23" s="159"/>
      <c r="M23" s="159"/>
      <c r="N23" s="230"/>
      <c r="O23" s="159"/>
      <c r="P23" s="229"/>
      <c r="Q23" s="229"/>
      <c r="R23" s="229"/>
      <c r="S23" s="229"/>
      <c r="AC23" s="120">
        <v>14</v>
      </c>
    </row>
    <row s="1823" customFormat="1" customHeight="1" ht="1.05">
      <c r="A24" s="762"/>
      <c r="B24" s="421"/>
      <c r="C24" s="762"/>
      <c r="D24" s="169"/>
      <c r="E24" s="87"/>
      <c r="F24" s="762"/>
      <c r="G24" s="87"/>
      <c r="H24" s="87"/>
      <c r="I24" s="87"/>
      <c r="J24" s="159"/>
      <c r="K24" s="159"/>
      <c r="L24" s="159"/>
      <c r="M24" s="159"/>
      <c r="N24" s="230"/>
      <c r="O24" s="159"/>
      <c r="P24" s="229"/>
      <c r="Q24" s="229"/>
      <c r="R24" s="229"/>
      <c r="S24" s="229"/>
      <c r="AC24" s="120">
        <v>1</v>
      </c>
    </row>
    <row s="1068" customFormat="1" customHeight="1" ht="10.5">
      <c r="B25" s="838"/>
      <c r="D25" s="186"/>
      <c r="J25" s="159"/>
      <c r="K25" s="159"/>
      <c r="L25" s="159"/>
      <c r="M25" s="159"/>
      <c r="N25" s="230"/>
      <c r="O25" s="159"/>
      <c r="P25" s="229"/>
      <c r="Q25" s="229"/>
      <c r="R25" s="229"/>
      <c r="S25" s="229"/>
      <c r="AC25" s="185">
        <v>10</v>
      </c>
    </row>
    <row s="1068" customFormat="1" customHeight="1" ht="10.5">
      <c r="B26" s="838"/>
      <c r="D26" s="186"/>
      <c r="J26" s="159"/>
      <c r="K26" s="159"/>
      <c r="L26" s="159"/>
      <c r="M26" s="159"/>
      <c r="N26" s="230"/>
      <c r="O26" s="159"/>
      <c r="P26" s="229"/>
      <c r="Q26" s="229"/>
      <c r="R26" s="229"/>
      <c r="S26" s="229"/>
      <c r="AC26" s="185">
        <v>10</v>
      </c>
    </row>
    <row customHeight="1" ht="14.699999999999998">
      <c r="AC27" s="87">
        <v>14</v>
      </c>
    </row>
    <row customHeight="1" ht="14.699999999999998">
      <c r="AC28" s="87">
        <v>14</v>
      </c>
    </row>
    <row customHeight="1" ht="14.699999999999998">
      <c r="AC29" s="87">
        <v>14</v>
      </c>
    </row>
    <row customHeight="1" ht="14.699999999999998">
      <c r="H30" s="68"/>
      <c r="AC30" s="87">
        <v>14</v>
      </c>
    </row>
    <row customHeight="1" ht="14.699999999999998">
      <c r="AC31" s="87">
        <v>14</v>
      </c>
    </row>
    <row customHeight="1" ht="14.699999999999998">
      <c r="AC32" s="87">
        <v>14</v>
      </c>
    </row>
    <row customHeight="1" ht="14.699999999999998">
      <c r="AC33" s="87">
        <v>14</v>
      </c>
    </row>
    <row customHeight="1" ht="14.699999999999998">
      <c r="J34" s="87"/>
      <c r="K34" s="87"/>
      <c r="L34" s="87"/>
      <c r="AC34" s="87">
        <v>14</v>
      </c>
    </row>
    <row customHeight="1" ht="22.5" hidden="1">
      <c r="A35" s="762" t="s">
        <v>82</v>
      </c>
      <c r="B35" s="421">
        <v>0</v>
      </c>
      <c r="C35" s="762">
        <v>3</v>
      </c>
      <c r="D35" s="169">
        <v>3</v>
      </c>
      <c r="E35" s="87">
        <v>6</v>
      </c>
      <c r="F35" s="762">
        <v>0</v>
      </c>
      <c r="G35" s="87">
        <v>46</v>
      </c>
      <c r="H35" s="87">
        <v>42</v>
      </c>
      <c r="I35" s="87">
        <v>14</v>
      </c>
      <c r="J35" s="159">
        <v>3</v>
      </c>
      <c r="K35" s="159">
        <v>0</v>
      </c>
      <c r="L35" s="159">
        <v>0</v>
      </c>
      <c r="M35" s="159">
        <v>0</v>
      </c>
      <c r="N35" s="230">
        <v>0</v>
      </c>
      <c r="O35" s="159">
        <v>0</v>
      </c>
      <c r="P35" s="229">
        <v>0</v>
      </c>
      <c r="Q35" s="229">
        <v>0</v>
      </c>
      <c r="R35" s="229">
        <v>0</v>
      </c>
      <c r="S35" s="229">
        <v>0</v>
      </c>
      <c r="T35" s="87">
        <v>0</v>
      </c>
      <c r="U35" s="87">
        <v>0</v>
      </c>
      <c r="V35" s="87">
        <v>0</v>
      </c>
      <c r="W35" s="87">
        <v>0</v>
      </c>
      <c r="X35" s="87">
        <v>0</v>
      </c>
      <c r="Y35" s="87">
        <v>0</v>
      </c>
      <c r="Z35" s="87">
        <v>0</v>
      </c>
      <c r="AA35" s="87">
        <v>0</v>
      </c>
      <c r="AB35" s="87">
        <v>8</v>
      </c>
      <c r="AC35" s="87">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596108-B668-5C82-DC78-00DB2B74D25F}"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C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143</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415</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416</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548</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549</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501</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502</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424</v>
      </c>
      <c r="P6" s="2261"/>
      <c r="Q6" s="2261">
        <v>1</v>
      </c>
      <c r="R6" s="361"/>
      <c r="S6" s="1497">
        <f>$J6</f>
      </c>
      <c r="T6" s="290" t="s">
        <v>425</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503</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755"/>
      <c r="AC7" s="2269"/>
      <c r="AD7" s="2111" t="s">
        <v>62</v>
      </c>
      <c r="AE7" s="2269"/>
      <c r="AF7" s="2111" t="s">
        <v>62</v>
      </c>
      <c r="AG7" s="755"/>
      <c r="AH7" s="755"/>
      <c r="AI7" s="755"/>
      <c r="AJ7" s="755"/>
      <c r="AK7" s="755"/>
      <c r="AL7" s="755"/>
      <c r="AM7" s="755"/>
      <c r="AN7" s="2269"/>
      <c r="AO7" s="2111" t="s">
        <v>62</v>
      </c>
      <c r="AP7" s="2291"/>
      <c r="AQ7" s="2111" t="s">
        <v>62</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29"/>
      <c r="AC8" s="2270"/>
      <c r="AD8" s="2111"/>
      <c r="AE8" s="2270"/>
      <c r="AF8" s="2111"/>
      <c r="AG8" s="329"/>
      <c r="AH8" s="329"/>
      <c r="AI8" s="329"/>
      <c r="AJ8" s="329"/>
      <c r="AK8" s="329"/>
      <c r="AL8" s="329"/>
      <c r="AM8" s="329"/>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504</v>
      </c>
      <c r="U9" s="371"/>
      <c r="V9" s="371"/>
      <c r="W9" s="604"/>
      <c r="X9" s="604"/>
      <c r="Y9" s="604"/>
      <c r="Z9" s="604"/>
      <c r="AA9" s="604"/>
      <c r="AB9" s="604"/>
      <c r="AC9" s="371"/>
      <c r="AD9" s="371"/>
      <c r="AE9" s="371"/>
      <c r="AF9" s="371"/>
      <c r="AG9" s="371"/>
      <c r="AH9" s="604"/>
      <c r="AI9" s="604"/>
      <c r="AJ9" s="604"/>
      <c r="AK9" s="604"/>
      <c r="AL9" s="604"/>
      <c r="AM9" s="371"/>
      <c r="AN9" s="371"/>
      <c r="AO9" s="371"/>
      <c r="AP9" s="371"/>
      <c r="AQ9" s="371"/>
      <c r="AR9" s="371"/>
      <c r="AS9" s="1262" t="s">
        <v>505</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430</v>
      </c>
      <c r="U10" s="371"/>
      <c r="V10" s="371"/>
      <c r="W10" s="604"/>
      <c r="X10" s="604"/>
      <c r="Y10" s="604"/>
      <c r="Z10" s="604"/>
      <c r="AA10" s="604"/>
      <c r="AB10" s="604"/>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506</v>
      </c>
      <c r="U11" s="371"/>
      <c r="V11" s="371"/>
      <c r="W11" s="604"/>
      <c r="X11" s="604"/>
      <c r="Y11" s="604"/>
      <c r="Z11" s="604"/>
      <c r="AA11" s="604"/>
      <c r="AB11" s="604"/>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433</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434</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4"/>
      <c r="AN15" s="2271"/>
      <c r="AO15" s="2272" t="s">
        <v>62</v>
      </c>
      <c r="AP15" s="2271"/>
      <c r="AQ15" s="2272" t="s">
        <v>62</v>
      </c>
      <c r="AY15" s="1159">
        <v>0</v>
      </c>
    </row>
    <row customHeight="1" ht="14.25" hidden="1">
      <c r="AG16" s="1364"/>
      <c r="AH16" s="1364"/>
      <c r="AI16" s="1364"/>
      <c r="AJ16" s="1364"/>
      <c r="AK16" s="1364"/>
      <c r="AL16" s="1364"/>
      <c r="AM16" s="1364"/>
      <c r="AN16" s="2272"/>
      <c r="AO16" s="2272"/>
      <c r="AP16" s="2272"/>
      <c r="AQ16" s="2272"/>
      <c r="AY16" s="1159">
        <v>0</v>
      </c>
    </row>
    <row customHeight="1" ht="14.25" hidden="1">
      <c r="AQ17" s="331"/>
      <c r="AY17" s="1159">
        <v>0</v>
      </c>
    </row>
    <row s="1370" customFormat="1" customHeight="1" ht="22.5" hidden="1">
      <c r="L18" s="1482"/>
      <c r="M18" s="1366"/>
      <c r="N18" s="1366"/>
      <c r="O18" s="1371" t="s">
        <v>435</v>
      </c>
      <c r="P18" s="1366"/>
      <c r="Q18" s="1375"/>
      <c r="R18" s="1375"/>
      <c r="S18" s="733"/>
      <c r="W18" s="1370"/>
      <c r="X18" s="1370"/>
      <c r="Y18" s="1370"/>
      <c r="Z18" s="1370"/>
      <c r="AA18" s="1370"/>
      <c r="AB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B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436</v>
      </c>
      <c r="P20" s="1366"/>
      <c r="Q20" s="1446"/>
      <c r="R20" s="1446"/>
      <c r="S20" s="733"/>
      <c r="T20" s="1164" t="s">
        <v>437</v>
      </c>
      <c r="W20" s="1370"/>
      <c r="X20" s="1370"/>
      <c r="Y20" s="1370"/>
      <c r="Z20" s="1370"/>
      <c r="AA20" s="1370"/>
      <c r="AB20" s="1370"/>
      <c r="AD20" s="190" t="s">
        <v>438</v>
      </c>
      <c r="AF20" s="190" t="s">
        <v>439</v>
      </c>
      <c r="AG20" s="1164" t="s">
        <v>437</v>
      </c>
      <c r="AH20" s="1370"/>
      <c r="AI20" s="1370"/>
      <c r="AJ20" s="1370"/>
      <c r="AK20" s="1370"/>
      <c r="AL20" s="1370"/>
      <c r="AO20" s="190" t="s">
        <v>440</v>
      </c>
      <c r="AQ20" s="190" t="s">
        <v>439</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1639"/>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АО "Теплоэнерго"</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41</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441</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442</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42</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443</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444</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1639"/>
      <c r="AC34" s="330"/>
      <c r="AD34" s="330"/>
      <c r="AE34" s="330"/>
      <c r="AF34" s="282" t="s">
        <v>445</v>
      </c>
      <c r="AG34" s="330"/>
      <c r="AH34" s="1639"/>
      <c r="AI34" s="1639"/>
      <c r="AJ34" s="1639"/>
      <c r="AK34" s="1639"/>
      <c r="AL34" s="1639"/>
      <c r="AM34" s="330"/>
      <c r="AN34" s="330"/>
      <c r="AO34" s="330"/>
      <c r="AP34" s="330"/>
      <c r="AQ34" s="282" t="s">
        <v>445</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318</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319</v>
      </c>
      <c r="AY36" s="1159">
        <v>14</v>
      </c>
    </row>
    <row customHeight="1" ht="14.699999999999998">
      <c r="Q37" s="380"/>
      <c r="R37" s="380"/>
      <c r="S37" s="2277" t="s">
        <v>88</v>
      </c>
      <c r="T37" s="2213" t="s">
        <v>446</v>
      </c>
      <c r="U37" s="305"/>
      <c r="V37" s="2278" t="s">
        <v>447</v>
      </c>
      <c r="W37" s="2295"/>
      <c r="X37" s="2295"/>
      <c r="Y37" s="2295"/>
      <c r="Z37" s="2295"/>
      <c r="AA37" s="2295"/>
      <c r="AB37" s="2295"/>
      <c r="AC37" s="2279"/>
      <c r="AD37" s="2279"/>
      <c r="AE37" s="2280"/>
      <c r="AF37" s="2281" t="s">
        <v>448</v>
      </c>
      <c r="AG37" s="2278" t="s">
        <v>447</v>
      </c>
      <c r="AH37" s="2279"/>
      <c r="AI37" s="2279"/>
      <c r="AJ37" s="2279"/>
      <c r="AK37" s="2279"/>
      <c r="AL37" s="2279"/>
      <c r="AM37" s="2279"/>
      <c r="AN37" s="2279"/>
      <c r="AO37" s="2279"/>
      <c r="AP37" s="2280"/>
      <c r="AQ37" s="2281" t="s">
        <v>449</v>
      </c>
      <c r="AR37" s="2284" t="s">
        <v>450</v>
      </c>
      <c r="AS37" s="2131"/>
      <c r="AY37" s="1159">
        <v>14</v>
      </c>
    </row>
    <row customHeight="1" ht="19.95">
      <c r="Q38" s="380"/>
      <c r="R38" s="380"/>
      <c r="S38" s="2277"/>
      <c r="T38" s="2213"/>
      <c r="U38" s="1035"/>
      <c r="V38" s="2370" t="s">
        <v>550</v>
      </c>
      <c r="W38" s="2369" t="s">
        <v>551</v>
      </c>
      <c r="X38" s="2369"/>
      <c r="Y38" s="2369"/>
      <c r="Z38" s="2369" t="s">
        <v>552</v>
      </c>
      <c r="AA38" s="2369"/>
      <c r="AB38" s="2369"/>
      <c r="AC38" s="2298" t="s">
        <v>454</v>
      </c>
      <c r="AD38" s="2317"/>
      <c r="AE38" s="2318"/>
      <c r="AF38" s="2282"/>
      <c r="AG38" s="2370" t="s">
        <v>550</v>
      </c>
      <c r="AH38" s="2369" t="s">
        <v>551</v>
      </c>
      <c r="AI38" s="2369"/>
      <c r="AJ38" s="2369"/>
      <c r="AK38" s="2369" t="s">
        <v>552</v>
      </c>
      <c r="AL38" s="2369"/>
      <c r="AM38" s="2369"/>
      <c r="AN38" s="2298" t="s">
        <v>454</v>
      </c>
      <c r="AO38" s="2317"/>
      <c r="AP38" s="2318"/>
      <c r="AQ38" s="2282"/>
      <c r="AR38" s="2285"/>
      <c r="AS38" s="2131"/>
      <c r="AY38" s="1159">
        <v>19</v>
      </c>
    </row>
    <row s="1639" customFormat="1" customHeight="1" ht="19.95">
      <c r="A39" s="1370"/>
      <c r="B39" s="1370"/>
      <c r="C39" s="1370"/>
      <c r="D39" s="1370"/>
      <c r="E39" s="1370"/>
      <c r="F39" s="1370"/>
      <c r="G39" s="1370"/>
      <c r="H39" s="1370"/>
      <c r="I39" s="1370"/>
      <c r="J39" s="1370"/>
      <c r="K39" s="1370"/>
      <c r="L39" s="1955"/>
      <c r="M39" s="1366"/>
      <c r="N39" s="1366"/>
      <c r="O39" s="1366"/>
      <c r="P39" s="1969"/>
      <c r="Q39" s="380"/>
      <c r="R39" s="380"/>
      <c r="S39" s="2277"/>
      <c r="T39" s="2213"/>
      <c r="U39" s="1035"/>
      <c r="V39" s="2370"/>
      <c r="W39" s="2369" t="s">
        <v>553</v>
      </c>
      <c r="X39" s="2369" t="s">
        <v>554</v>
      </c>
      <c r="Y39" s="2369"/>
      <c r="Z39" s="2369" t="s">
        <v>555</v>
      </c>
      <c r="AA39" s="2369" t="s">
        <v>554</v>
      </c>
      <c r="AB39" s="2369"/>
      <c r="AC39" s="2299"/>
      <c r="AD39" s="2319"/>
      <c r="AE39" s="2320"/>
      <c r="AF39" s="2282"/>
      <c r="AG39" s="2370"/>
      <c r="AH39" s="2369" t="s">
        <v>553</v>
      </c>
      <c r="AI39" s="2369" t="s">
        <v>554</v>
      </c>
      <c r="AJ39" s="2369"/>
      <c r="AK39" s="2369" t="s">
        <v>555</v>
      </c>
      <c r="AL39" s="2369" t="s">
        <v>554</v>
      </c>
      <c r="AM39" s="2369"/>
      <c r="AN39" s="2299"/>
      <c r="AO39" s="2319"/>
      <c r="AP39" s="2320"/>
      <c r="AQ39" s="2282"/>
      <c r="AR39" s="2285"/>
      <c r="AS39" s="2131"/>
      <c r="AT39" s="1640"/>
      <c r="AU39" s="1640"/>
      <c r="AV39" s="1640"/>
      <c r="AW39" s="1640"/>
      <c r="AX39" s="1640"/>
      <c r="AY39" s="1635">
        <v>19</v>
      </c>
    </row>
    <row customHeight="1" ht="61.949999999999996">
      <c r="A40" s="1374"/>
      <c r="B40" s="1374" t="s">
        <v>155</v>
      </c>
      <c r="C40" s="1374" t="s">
        <v>156</v>
      </c>
      <c r="D40" s="1374" t="s">
        <v>157</v>
      </c>
      <c r="E40" s="1368" t="s">
        <v>455</v>
      </c>
      <c r="F40" s="1368" t="s">
        <v>456</v>
      </c>
      <c r="G40" s="1368" t="s">
        <v>457</v>
      </c>
      <c r="H40" s="1368"/>
      <c r="I40" s="1368" t="s">
        <v>508</v>
      </c>
      <c r="J40" s="1368" t="s">
        <v>460</v>
      </c>
      <c r="K40" s="1368" t="s">
        <v>509</v>
      </c>
      <c r="L40" s="1368" t="s">
        <v>436</v>
      </c>
      <c r="Q40" s="380"/>
      <c r="R40" s="380"/>
      <c r="S40" s="2277"/>
      <c r="T40" s="2213"/>
      <c r="U40" s="306"/>
      <c r="V40" s="2370"/>
      <c r="W40" s="2369"/>
      <c r="X40" s="1987" t="s">
        <v>556</v>
      </c>
      <c r="Y40" s="1987" t="s">
        <v>557</v>
      </c>
      <c r="Z40" s="2369"/>
      <c r="AA40" s="1987" t="s">
        <v>558</v>
      </c>
      <c r="AB40" s="1987" t="s">
        <v>559</v>
      </c>
      <c r="AC40" s="1493" t="s">
        <v>464</v>
      </c>
      <c r="AD40" s="2274" t="s">
        <v>465</v>
      </c>
      <c r="AE40" s="2275"/>
      <c r="AF40" s="2283"/>
      <c r="AG40" s="2370"/>
      <c r="AH40" s="2369"/>
      <c r="AI40" s="1987" t="s">
        <v>556</v>
      </c>
      <c r="AJ40" s="1987" t="s">
        <v>557</v>
      </c>
      <c r="AK40" s="2369"/>
      <c r="AL40" s="1987" t="s">
        <v>558</v>
      </c>
      <c r="AM40" s="1987" t="s">
        <v>559</v>
      </c>
      <c r="AN40" s="1493" t="s">
        <v>464</v>
      </c>
      <c r="AO40" s="2274" t="s">
        <v>465</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119</v>
      </c>
      <c r="T41" s="1259" t="s">
        <v>103</v>
      </c>
      <c r="U41" s="1249" t="str">
        <f>OFFSET(U41,0,-1)</f>
        <v>2</v>
      </c>
      <c r="V41" s="1486">
        <f>OFFSET(V41,0,-1)+1</f>
        <v>3</v>
      </c>
      <c r="W41" s="1345"/>
      <c r="X41" s="1345"/>
      <c r="Y41" s="1345"/>
      <c r="Z41" s="1345"/>
      <c r="AA41" s="1345"/>
      <c r="AB41" s="1345"/>
      <c r="AC41" s="1486">
        <f>OFFSET(AC41,0,-1)+1</f>
        <v>1</v>
      </c>
      <c r="AD41" s="2276">
        <f>OFFSET(AD41,0,-1)+1</f>
        <v>2</v>
      </c>
      <c r="AE41" s="2276"/>
      <c r="AF41" s="1486">
        <f>OFFSET(AF41,0,-2)+1</f>
        <v>3</v>
      </c>
      <c r="AG41" s="1486">
        <f>OFFSET(AG41,0,-1)+1</f>
        <v>4</v>
      </c>
      <c r="AH41" s="1960"/>
      <c r="AI41" s="1960"/>
      <c r="AJ41" s="1960"/>
      <c r="AK41" s="1960"/>
      <c r="AL41" s="1960"/>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269</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143</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269</v>
      </c>
      <c r="B43" s="1367" t="s">
        <v>270</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415</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416</v>
      </c>
      <c r="AU43" s="504"/>
      <c r="AV43" s="504" t="str">
        <f>IF(T43="","",T43)</f>
        <v>Территория действия тарифа</v>
      </c>
      <c r="AW43" s="504"/>
      <c r="AX43" s="504"/>
      <c r="AY43" s="1159">
        <v>23</v>
      </c>
    </row>
    <row customHeight="1" ht="24">
      <c r="A44" s="1367" t="s">
        <v>269</v>
      </c>
      <c r="B44" s="1367" t="s">
        <v>270</v>
      </c>
      <c r="C44" s="1367" t="s">
        <v>271</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548</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549</v>
      </c>
      <c r="AU44" s="504"/>
      <c r="AV44" s="504" t="str">
        <f>IF(T44="","",T44)</f>
        <v>Наименование централизованной системы горячего водоснабжения</v>
      </c>
      <c r="AW44" s="504"/>
      <c r="AX44" s="504"/>
      <c r="AY44" s="1159">
        <v>23</v>
      </c>
    </row>
    <row customHeight="1" ht="24">
      <c r="A45" s="1367" t="s">
        <v>269</v>
      </c>
      <c r="B45" s="1367" t="s">
        <v>270</v>
      </c>
      <c r="C45" s="1367" t="s">
        <v>271</v>
      </c>
      <c r="D45" s="1367" t="s">
        <v>560</v>
      </c>
      <c r="E45" s="2263"/>
      <c r="F45" s="2263"/>
      <c r="G45" s="2263"/>
      <c r="H45" s="2263"/>
      <c r="I45" s="2260" t="str">
        <f>S44&amp;".1"</f>
        <v>...1</v>
      </c>
      <c r="J45" s="1367"/>
      <c r="K45" s="1367"/>
      <c r="L45" s="1368"/>
      <c r="P45" s="2261">
        <v>1</v>
      </c>
      <c r="Q45" s="1485"/>
      <c r="R45" s="360"/>
      <c r="S45" s="1497" t="str">
        <f>$I45</f>
        <v>...1</v>
      </c>
      <c r="T45" s="289" t="s">
        <v>501</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502</v>
      </c>
      <c r="AU45" s="504"/>
      <c r="AV45" s="504" t="str">
        <f>IF(T45="","",T45)</f>
        <v>Наименование признака дифференциации</v>
      </c>
      <c r="AW45" s="504"/>
      <c r="AX45" s="504"/>
      <c r="AY45" s="1159">
        <v>23</v>
      </c>
    </row>
    <row customHeight="1" ht="24">
      <c r="A46" s="1367" t="s">
        <v>269</v>
      </c>
      <c r="B46" s="1367" t="s">
        <v>270</v>
      </c>
      <c r="C46" s="1367" t="s">
        <v>271</v>
      </c>
      <c r="D46" s="1367" t="s">
        <v>560</v>
      </c>
      <c r="E46" s="2263"/>
      <c r="F46" s="2263"/>
      <c r="G46" s="2263"/>
      <c r="H46" s="2263"/>
      <c r="I46" s="2290"/>
      <c r="J46" s="2260" t="str">
        <f>I45&amp;".1"</f>
        <v>...1.1</v>
      </c>
      <c r="K46" s="1367"/>
      <c r="L46" s="1368" t="s">
        <v>424</v>
      </c>
      <c r="P46" s="2261"/>
      <c r="Q46" s="2261">
        <v>1</v>
      </c>
      <c r="R46" s="361"/>
      <c r="S46" s="1497" t="str">
        <f>$J46</f>
        <v>...1.1</v>
      </c>
      <c r="T46" s="290" t="s">
        <v>425</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503</v>
      </c>
      <c r="AU46" s="504"/>
      <c r="AV46" s="504" t="str">
        <f>IF(T46="","",T46)</f>
        <v>Группа потребителей</v>
      </c>
      <c r="AW46" s="504"/>
      <c r="AX46" s="504"/>
      <c r="AY46" s="1159">
        <v>23</v>
      </c>
    </row>
    <row customHeight="1" ht="24">
      <c r="A47" s="1367" t="s">
        <v>269</v>
      </c>
      <c r="B47" s="1367" t="s">
        <v>270</v>
      </c>
      <c r="C47" s="1367" t="s">
        <v>271</v>
      </c>
      <c r="D47" s="1367" t="s">
        <v>560</v>
      </c>
      <c r="E47" s="2263"/>
      <c r="F47" s="2263"/>
      <c r="G47" s="2263"/>
      <c r="H47" s="2263"/>
      <c r="I47" s="2290"/>
      <c r="J47" s="2290"/>
      <c r="K47" s="2260" t="str">
        <f>J46&amp;".1"</f>
        <v>...1.1.1</v>
      </c>
      <c r="L47" s="1368"/>
      <c r="P47" s="2261"/>
      <c r="Q47" s="2261"/>
      <c r="R47" s="361">
        <v>1</v>
      </c>
      <c r="S47" s="1497" t="str">
        <f>$K47</f>
        <v>...1.1.1</v>
      </c>
      <c r="T47" s="1441"/>
      <c r="U47" s="304"/>
      <c r="V47" s="755"/>
      <c r="W47" s="755"/>
      <c r="X47" s="755"/>
      <c r="Y47" s="755"/>
      <c r="Z47" s="755"/>
      <c r="AA47" s="755"/>
      <c r="AB47" s="755"/>
      <c r="AC47" s="2271"/>
      <c r="AD47" s="2272" t="s">
        <v>62</v>
      </c>
      <c r="AE47" s="2271"/>
      <c r="AF47" s="2272" t="s">
        <v>62</v>
      </c>
      <c r="AG47" s="755"/>
      <c r="AH47" s="755"/>
      <c r="AI47" s="755"/>
      <c r="AJ47" s="755"/>
      <c r="AK47" s="755"/>
      <c r="AL47" s="755"/>
      <c r="AM47" s="755"/>
      <c r="AN47" s="2269"/>
      <c r="AO47" s="2111" t="s">
        <v>62</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269</v>
      </c>
      <c r="B48" s="1367" t="s">
        <v>270</v>
      </c>
      <c r="C48" s="1367" t="s">
        <v>271</v>
      </c>
      <c r="D48" s="1367" t="s">
        <v>560</v>
      </c>
      <c r="E48" s="2263"/>
      <c r="F48" s="2263"/>
      <c r="G48" s="2263"/>
      <c r="H48" s="2263"/>
      <c r="I48" s="2290"/>
      <c r="J48" s="2290"/>
      <c r="K48" s="2260"/>
      <c r="L48" s="1368"/>
      <c r="P48" s="2261"/>
      <c r="Q48" s="2261"/>
      <c r="R48" s="361"/>
      <c r="S48" s="1494"/>
      <c r="T48" s="304"/>
      <c r="U48" s="304"/>
      <c r="V48" s="1364"/>
      <c r="W48" s="1364"/>
      <c r="X48" s="1364"/>
      <c r="Y48" s="1364"/>
      <c r="Z48" s="1364"/>
      <c r="AA48" s="1364"/>
      <c r="AB48" s="1364"/>
      <c r="AC48" s="2272"/>
      <c r="AD48" s="2272"/>
      <c r="AE48" s="2272"/>
      <c r="AF48" s="2272"/>
      <c r="AG48" s="329"/>
      <c r="AH48" s="329"/>
      <c r="AI48" s="329"/>
      <c r="AJ48" s="329"/>
      <c r="AK48" s="329"/>
      <c r="AL48" s="329"/>
      <c r="AM48" s="329"/>
      <c r="AN48" s="2270"/>
      <c r="AO48" s="2111"/>
      <c r="AP48" s="2292"/>
      <c r="AQ48" s="2111"/>
      <c r="AR48" s="1443"/>
      <c r="AS48" s="2353"/>
      <c r="AU48" s="504"/>
      <c r="AV48" s="504" t="str">
        <f>IF(T48="","",T48)</f>
        <v/>
      </c>
      <c r="AW48" s="504"/>
      <c r="AX48" s="504"/>
      <c r="AY48" s="1159">
        <v>0</v>
      </c>
    </row>
    <row customHeight="1" ht="21">
      <c r="A49" s="1367" t="s">
        <v>269</v>
      </c>
      <c r="B49" s="1367" t="s">
        <v>270</v>
      </c>
      <c r="C49" s="1367" t="s">
        <v>271</v>
      </c>
      <c r="D49" s="1367" t="s">
        <v>560</v>
      </c>
      <c r="E49" s="2263"/>
      <c r="F49" s="2263"/>
      <c r="G49" s="2263"/>
      <c r="H49" s="2263"/>
      <c r="I49" s="2290"/>
      <c r="J49" s="2260"/>
      <c r="K49" s="1367"/>
      <c r="L49" s="1368"/>
      <c r="P49" s="2261"/>
      <c r="Q49" s="2261"/>
      <c r="R49" s="360"/>
      <c r="S49" s="1282"/>
      <c r="T49" s="291" t="s">
        <v>504</v>
      </c>
      <c r="U49" s="371"/>
      <c r="V49" s="371"/>
      <c r="W49" s="604"/>
      <c r="X49" s="604"/>
      <c r="Y49" s="604"/>
      <c r="Z49" s="604"/>
      <c r="AA49" s="604"/>
      <c r="AB49" s="604"/>
      <c r="AC49" s="371"/>
      <c r="AD49" s="371"/>
      <c r="AE49" s="371"/>
      <c r="AF49" s="371"/>
      <c r="AG49" s="371"/>
      <c r="AH49" s="604"/>
      <c r="AI49" s="604"/>
      <c r="AJ49" s="604"/>
      <c r="AK49" s="604"/>
      <c r="AL49" s="604"/>
      <c r="AM49" s="371"/>
      <c r="AN49" s="371"/>
      <c r="AO49" s="371"/>
      <c r="AP49" s="371"/>
      <c r="AQ49" s="371"/>
      <c r="AR49" s="371"/>
      <c r="AS49" s="1262" t="s">
        <v>505</v>
      </c>
      <c r="AU49" s="504"/>
      <c r="AV49" s="504" t="str">
        <f>IF(T49="","",T49)</f>
        <v>Добавить значение признака дифференциации</v>
      </c>
      <c r="AW49" s="504"/>
      <c r="AX49" s="504"/>
      <c r="AY49" s="1159">
        <v>20</v>
      </c>
    </row>
    <row customHeight="1" ht="22.049999999999997">
      <c r="A50" s="1367" t="s">
        <v>269</v>
      </c>
      <c r="B50" s="1367" t="s">
        <v>270</v>
      </c>
      <c r="C50" s="1367" t="s">
        <v>271</v>
      </c>
      <c r="D50" s="1367" t="s">
        <v>560</v>
      </c>
      <c r="E50" s="2263"/>
      <c r="F50" s="2263"/>
      <c r="G50" s="2263"/>
      <c r="H50" s="2263"/>
      <c r="I50" s="2260"/>
      <c r="J50" s="1367"/>
      <c r="K50" s="1367"/>
      <c r="L50" s="1368"/>
      <c r="P50" s="2261"/>
      <c r="Q50" s="1485"/>
      <c r="R50" s="360"/>
      <c r="S50" s="1282"/>
      <c r="T50" s="369" t="s">
        <v>430</v>
      </c>
      <c r="U50" s="371"/>
      <c r="V50" s="371"/>
      <c r="W50" s="604"/>
      <c r="X50" s="604"/>
      <c r="Y50" s="604"/>
      <c r="Z50" s="604"/>
      <c r="AA50" s="604"/>
      <c r="AB50" s="604"/>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269</v>
      </c>
      <c r="B51" s="1367" t="s">
        <v>270</v>
      </c>
      <c r="C51" s="1367" t="s">
        <v>271</v>
      </c>
      <c r="D51" s="1367" t="s">
        <v>560</v>
      </c>
      <c r="E51" s="2263"/>
      <c r="F51" s="2263"/>
      <c r="G51" s="2263"/>
      <c r="H51" s="2262"/>
      <c r="I51" s="1367"/>
      <c r="J51" s="1367"/>
      <c r="K51" s="1367"/>
      <c r="L51" s="1368"/>
      <c r="M51" s="1369"/>
      <c r="N51" s="1369"/>
      <c r="O51" s="541"/>
      <c r="P51" s="364"/>
      <c r="Q51" s="379"/>
      <c r="R51" s="359"/>
      <c r="S51" s="1282"/>
      <c r="T51" s="376" t="s">
        <v>506</v>
      </c>
      <c r="U51" s="371"/>
      <c r="V51" s="371"/>
      <c r="W51" s="604"/>
      <c r="X51" s="604"/>
      <c r="Y51" s="604"/>
      <c r="Z51" s="604"/>
      <c r="AA51" s="604"/>
      <c r="AB51" s="604"/>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269</v>
      </c>
      <c r="B52" s="1347" t="s">
        <v>270</v>
      </c>
      <c r="C52" s="1318"/>
      <c r="D52" s="1318"/>
      <c r="E52" s="2263"/>
      <c r="F52" s="2262"/>
      <c r="G52" s="1318"/>
      <c r="H52" s="1318"/>
      <c r="I52" s="1318"/>
      <c r="J52" s="1318"/>
      <c r="K52" s="1318"/>
      <c r="L52" s="1498"/>
      <c r="M52" s="1325"/>
      <c r="N52" s="1325"/>
      <c r="P52" s="1320"/>
      <c r="Q52" s="1321"/>
      <c r="R52" s="1320"/>
      <c r="S52" s="1326"/>
      <c r="T52" s="1329" t="s">
        <v>433</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269</v>
      </c>
      <c r="B53" s="1347"/>
      <c r="C53" s="1347"/>
      <c r="D53" s="1347"/>
      <c r="E53" s="2262"/>
      <c r="F53" s="1347"/>
      <c r="G53" s="1347"/>
      <c r="H53" s="1347"/>
      <c r="I53" s="1347"/>
      <c r="J53" s="1347"/>
      <c r="K53" s="1347"/>
      <c r="L53" s="1350"/>
      <c r="M53" s="1325"/>
      <c r="N53" s="1325"/>
      <c r="O53" s="522"/>
      <c r="P53" s="384"/>
      <c r="Q53" s="1348"/>
      <c r="R53" s="384"/>
      <c r="S53" s="1326"/>
      <c r="T53" s="1329" t="s">
        <v>434</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466</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82</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635">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0FE6CC-F099-6EBB-B871-ABD68E76590F}"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B1" s="331"/>
      <c r="AC1" s="331"/>
      <c r="AM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143</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415</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416</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548</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549</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501</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502</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424</v>
      </c>
      <c r="P6" s="2261"/>
      <c r="Q6" s="2261">
        <v>1</v>
      </c>
      <c r="R6" s="361"/>
      <c r="S6" s="1497">
        <f>$J6</f>
      </c>
      <c r="T6" s="290" t="s">
        <v>425</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503</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1261"/>
      <c r="AC7" s="2269"/>
      <c r="AD7" s="2111" t="s">
        <v>62</v>
      </c>
      <c r="AE7" s="2269"/>
      <c r="AF7" s="2111" t="s">
        <v>62</v>
      </c>
      <c r="AG7" s="755"/>
      <c r="AH7" s="755"/>
      <c r="AI7" s="755"/>
      <c r="AJ7" s="755"/>
      <c r="AK7" s="755"/>
      <c r="AL7" s="755"/>
      <c r="AM7" s="1261"/>
      <c r="AN7" s="2269"/>
      <c r="AO7" s="2111" t="s">
        <v>62</v>
      </c>
      <c r="AP7" s="2291"/>
      <c r="AQ7" s="2111" t="s">
        <v>62</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32" t="str">
        <f>AC7&amp;"-"&amp;AE7</f>
        <v>-</v>
      </c>
      <c r="AC8" s="2270"/>
      <c r="AD8" s="2111"/>
      <c r="AE8" s="2270"/>
      <c r="AF8" s="2111"/>
      <c r="AG8" s="329"/>
      <c r="AH8" s="329"/>
      <c r="AI8" s="329"/>
      <c r="AJ8" s="329"/>
      <c r="AK8" s="329"/>
      <c r="AL8" s="329"/>
      <c r="AM8" s="332" t="str">
        <f>AN7&amp;"-"&amp;AP7</f>
        <v>-</v>
      </c>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504</v>
      </c>
      <c r="U9" s="371"/>
      <c r="V9" s="371"/>
      <c r="W9" s="604"/>
      <c r="X9" s="604"/>
      <c r="Y9" s="604"/>
      <c r="Z9" s="604"/>
      <c r="AA9" s="604"/>
      <c r="AB9" s="371"/>
      <c r="AC9" s="371"/>
      <c r="AD9" s="371"/>
      <c r="AE9" s="371"/>
      <c r="AF9" s="371"/>
      <c r="AG9" s="371"/>
      <c r="AH9" s="604"/>
      <c r="AI9" s="604"/>
      <c r="AJ9" s="604"/>
      <c r="AK9" s="604"/>
      <c r="AL9" s="604"/>
      <c r="AM9" s="371"/>
      <c r="AN9" s="371"/>
      <c r="AO9" s="371"/>
      <c r="AP9" s="371"/>
      <c r="AQ9" s="371"/>
      <c r="AR9" s="371"/>
      <c r="AS9" s="1262" t="s">
        <v>505</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430</v>
      </c>
      <c r="U10" s="371"/>
      <c r="V10" s="371"/>
      <c r="W10" s="604"/>
      <c r="X10" s="604"/>
      <c r="Y10" s="604"/>
      <c r="Z10" s="604"/>
      <c r="AA10" s="604"/>
      <c r="AB10" s="371"/>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506</v>
      </c>
      <c r="U11" s="371"/>
      <c r="V11" s="371"/>
      <c r="W11" s="604"/>
      <c r="X11" s="604"/>
      <c r="Y11" s="604"/>
      <c r="Z11" s="604"/>
      <c r="AA11" s="604"/>
      <c r="AB11" s="371"/>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433</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434</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5"/>
      <c r="AN15" s="2271"/>
      <c r="AO15" s="2272" t="s">
        <v>62</v>
      </c>
      <c r="AP15" s="2271"/>
      <c r="AQ15" s="2272" t="s">
        <v>62</v>
      </c>
      <c r="AY15" s="1159">
        <v>0</v>
      </c>
    </row>
    <row customHeight="1" ht="14.25" hidden="1">
      <c r="AG16" s="1364"/>
      <c r="AH16" s="1364"/>
      <c r="AI16" s="1364"/>
      <c r="AJ16" s="1364"/>
      <c r="AK16" s="1364"/>
      <c r="AL16" s="1364"/>
      <c r="AM16" s="332" t="str">
        <f>AN15&amp;"-"&amp;AP15</f>
        <v>-</v>
      </c>
      <c r="AN16" s="2272"/>
      <c r="AO16" s="2272"/>
      <c r="AP16" s="2272"/>
      <c r="AQ16" s="2272"/>
      <c r="AY16" s="1159">
        <v>0</v>
      </c>
    </row>
    <row customHeight="1" ht="14.25" hidden="1">
      <c r="AQ17" s="331"/>
      <c r="AY17" s="1159">
        <v>0</v>
      </c>
    </row>
    <row s="1370" customFormat="1" customHeight="1" ht="22.5" hidden="1">
      <c r="L18" s="1482"/>
      <c r="M18" s="1366"/>
      <c r="N18" s="1366"/>
      <c r="O18" s="1371" t="s">
        <v>435</v>
      </c>
      <c r="P18" s="1366"/>
      <c r="Q18" s="1375"/>
      <c r="R18" s="1375"/>
      <c r="S18" s="733"/>
      <c r="W18" s="1370"/>
      <c r="X18" s="1370"/>
      <c r="Y18" s="1370"/>
      <c r="Z18" s="1370"/>
      <c r="AA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436</v>
      </c>
      <c r="P20" s="1366"/>
      <c r="Q20" s="1446"/>
      <c r="R20" s="1446"/>
      <c r="S20" s="733"/>
      <c r="T20" s="1164" t="s">
        <v>437</v>
      </c>
      <c r="W20" s="1370"/>
      <c r="X20" s="1370"/>
      <c r="Y20" s="1370"/>
      <c r="Z20" s="1370"/>
      <c r="AA20" s="1370"/>
      <c r="AD20" s="190" t="s">
        <v>438</v>
      </c>
      <c r="AF20" s="190" t="s">
        <v>439</v>
      </c>
      <c r="AG20" s="1164" t="s">
        <v>437</v>
      </c>
      <c r="AH20" s="1370"/>
      <c r="AI20" s="1370"/>
      <c r="AJ20" s="1370"/>
      <c r="AK20" s="1370"/>
      <c r="AL20" s="1370"/>
      <c r="AO20" s="190" t="s">
        <v>440</v>
      </c>
      <c r="AQ20" s="190" t="s">
        <v>439</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513"/>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АО "Теплоэнерго"</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41</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441</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442</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42</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443</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444</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330"/>
      <c r="AC34" s="330"/>
      <c r="AD34" s="330"/>
      <c r="AE34" s="330"/>
      <c r="AF34" s="282" t="s">
        <v>445</v>
      </c>
      <c r="AG34" s="330"/>
      <c r="AH34" s="1639"/>
      <c r="AI34" s="1639"/>
      <c r="AJ34" s="1639"/>
      <c r="AK34" s="1639"/>
      <c r="AL34" s="1639"/>
      <c r="AM34" s="330"/>
      <c r="AN34" s="330"/>
      <c r="AO34" s="330"/>
      <c r="AP34" s="330"/>
      <c r="AQ34" s="282" t="s">
        <v>445</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318</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319</v>
      </c>
      <c r="AY36" s="1159">
        <v>14</v>
      </c>
    </row>
    <row customHeight="1" ht="14.699999999999998">
      <c r="Q37" s="380"/>
      <c r="R37" s="380"/>
      <c r="S37" s="2277" t="s">
        <v>88</v>
      </c>
      <c r="T37" s="2213" t="s">
        <v>446</v>
      </c>
      <c r="U37" s="305"/>
      <c r="V37" s="2278" t="s">
        <v>447</v>
      </c>
      <c r="W37" s="2279"/>
      <c r="X37" s="2279"/>
      <c r="Y37" s="2279"/>
      <c r="Z37" s="2279"/>
      <c r="AA37" s="2279"/>
      <c r="AB37" s="2279"/>
      <c r="AC37" s="2279"/>
      <c r="AD37" s="2279"/>
      <c r="AE37" s="2280"/>
      <c r="AF37" s="2281" t="s">
        <v>448</v>
      </c>
      <c r="AG37" s="2278" t="s">
        <v>447</v>
      </c>
      <c r="AH37" s="2279"/>
      <c r="AI37" s="2279"/>
      <c r="AJ37" s="2279"/>
      <c r="AK37" s="2279"/>
      <c r="AL37" s="2279"/>
      <c r="AM37" s="2279"/>
      <c r="AN37" s="2279"/>
      <c r="AO37" s="2279"/>
      <c r="AP37" s="2280"/>
      <c r="AQ37" s="2281" t="s">
        <v>449</v>
      </c>
      <c r="AR37" s="2284" t="s">
        <v>450</v>
      </c>
      <c r="AS37" s="2131"/>
      <c r="AY37" s="1159">
        <v>14</v>
      </c>
    </row>
    <row s="1639" customFormat="1" customHeight="1" ht="19.95">
      <c r="A38" s="1370"/>
      <c r="B38" s="1370"/>
      <c r="C38" s="1370"/>
      <c r="D38" s="1370"/>
      <c r="E38" s="1370"/>
      <c r="F38" s="1370"/>
      <c r="G38" s="1370"/>
      <c r="H38" s="1370"/>
      <c r="I38" s="1370"/>
      <c r="J38" s="1370"/>
      <c r="K38" s="1370"/>
      <c r="L38" s="1984"/>
      <c r="M38" s="1366"/>
      <c r="N38" s="1366"/>
      <c r="O38" s="1366"/>
      <c r="P38" s="1985"/>
      <c r="Q38" s="380"/>
      <c r="R38" s="380"/>
      <c r="S38" s="2277"/>
      <c r="T38" s="2213"/>
      <c r="U38" s="1035"/>
      <c r="V38" s="2370" t="s">
        <v>550</v>
      </c>
      <c r="W38" s="2369" t="s">
        <v>551</v>
      </c>
      <c r="X38" s="2369"/>
      <c r="Y38" s="2369"/>
      <c r="Z38" s="2369" t="s">
        <v>552</v>
      </c>
      <c r="AA38" s="2369"/>
      <c r="AB38" s="2369"/>
      <c r="AC38" s="2298" t="s">
        <v>454</v>
      </c>
      <c r="AD38" s="2317"/>
      <c r="AE38" s="2318"/>
      <c r="AF38" s="2282"/>
      <c r="AG38" s="2370" t="s">
        <v>550</v>
      </c>
      <c r="AH38" s="2369" t="s">
        <v>551</v>
      </c>
      <c r="AI38" s="2369"/>
      <c r="AJ38" s="2369"/>
      <c r="AK38" s="2369" t="s">
        <v>552</v>
      </c>
      <c r="AL38" s="2369"/>
      <c r="AM38" s="2369"/>
      <c r="AN38" s="2298" t="s">
        <v>454</v>
      </c>
      <c r="AO38" s="2317"/>
      <c r="AP38" s="2318"/>
      <c r="AQ38" s="2282"/>
      <c r="AR38" s="2285"/>
      <c r="AS38" s="2131"/>
      <c r="AT38" s="1640"/>
      <c r="AU38" s="1640"/>
      <c r="AV38" s="1640"/>
      <c r="AW38" s="1640"/>
      <c r="AX38" s="1640"/>
      <c r="AY38" s="1635">
        <v>19</v>
      </c>
    </row>
    <row customHeight="1" ht="19.95">
      <c r="Q39" s="380"/>
      <c r="R39" s="380"/>
      <c r="S39" s="2277"/>
      <c r="T39" s="2213"/>
      <c r="U39" s="1035"/>
      <c r="V39" s="2370"/>
      <c r="W39" s="2369" t="s">
        <v>553</v>
      </c>
      <c r="X39" s="2369" t="s">
        <v>554</v>
      </c>
      <c r="Y39" s="2369"/>
      <c r="Z39" s="2369" t="s">
        <v>555</v>
      </c>
      <c r="AA39" s="2369" t="s">
        <v>554</v>
      </c>
      <c r="AB39" s="2369"/>
      <c r="AC39" s="2299"/>
      <c r="AD39" s="2319"/>
      <c r="AE39" s="2320"/>
      <c r="AF39" s="2282"/>
      <c r="AG39" s="2370"/>
      <c r="AH39" s="2369" t="s">
        <v>553</v>
      </c>
      <c r="AI39" s="2369" t="s">
        <v>554</v>
      </c>
      <c r="AJ39" s="2369"/>
      <c r="AK39" s="2369" t="s">
        <v>555</v>
      </c>
      <c r="AL39" s="2369" t="s">
        <v>554</v>
      </c>
      <c r="AM39" s="2369"/>
      <c r="AN39" s="2299"/>
      <c r="AO39" s="2319"/>
      <c r="AP39" s="2320"/>
      <c r="AQ39" s="2282"/>
      <c r="AR39" s="2285"/>
      <c r="AS39" s="2131"/>
      <c r="AY39" s="1159">
        <v>19</v>
      </c>
    </row>
    <row customHeight="1" ht="61.949999999999996">
      <c r="A40" s="1374"/>
      <c r="B40" s="1374" t="s">
        <v>155</v>
      </c>
      <c r="C40" s="1374" t="s">
        <v>156</v>
      </c>
      <c r="D40" s="1374" t="s">
        <v>157</v>
      </c>
      <c r="E40" s="1368" t="s">
        <v>455</v>
      </c>
      <c r="F40" s="1368" t="s">
        <v>456</v>
      </c>
      <c r="G40" s="1368" t="s">
        <v>457</v>
      </c>
      <c r="H40" s="1368"/>
      <c r="I40" s="1368" t="s">
        <v>508</v>
      </c>
      <c r="J40" s="1368" t="s">
        <v>460</v>
      </c>
      <c r="K40" s="1368" t="s">
        <v>509</v>
      </c>
      <c r="L40" s="1368" t="s">
        <v>436</v>
      </c>
      <c r="Q40" s="380"/>
      <c r="R40" s="380"/>
      <c r="S40" s="2277"/>
      <c r="T40" s="2213"/>
      <c r="U40" s="306"/>
      <c r="V40" s="2370"/>
      <c r="W40" s="2369"/>
      <c r="X40" s="1987" t="s">
        <v>556</v>
      </c>
      <c r="Y40" s="1987" t="s">
        <v>557</v>
      </c>
      <c r="Z40" s="2369"/>
      <c r="AA40" s="1987" t="s">
        <v>558</v>
      </c>
      <c r="AB40" s="1987" t="s">
        <v>559</v>
      </c>
      <c r="AC40" s="1493" t="s">
        <v>464</v>
      </c>
      <c r="AD40" s="2274" t="s">
        <v>465</v>
      </c>
      <c r="AE40" s="2275"/>
      <c r="AF40" s="2283"/>
      <c r="AG40" s="2370"/>
      <c r="AH40" s="2369"/>
      <c r="AI40" s="1987" t="s">
        <v>556</v>
      </c>
      <c r="AJ40" s="1987" t="s">
        <v>557</v>
      </c>
      <c r="AK40" s="2369"/>
      <c r="AL40" s="1987" t="s">
        <v>558</v>
      </c>
      <c r="AM40" s="1987" t="s">
        <v>559</v>
      </c>
      <c r="AN40" s="1493" t="s">
        <v>464</v>
      </c>
      <c r="AO40" s="2274" t="s">
        <v>465</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119</v>
      </c>
      <c r="T41" s="1259" t="s">
        <v>103</v>
      </c>
      <c r="U41" s="1249" t="str">
        <f>OFFSET(U41,0,-1)</f>
        <v>2</v>
      </c>
      <c r="V41" s="1486">
        <f>OFFSET(V41,0,-1)+1</f>
        <v>3</v>
      </c>
      <c r="W41" s="1983"/>
      <c r="X41" s="1983"/>
      <c r="Y41" s="1983"/>
      <c r="Z41" s="1983"/>
      <c r="AA41" s="1983"/>
      <c r="AB41" s="1486">
        <f>OFFSET(AB41,0,-1)+1</f>
        <v>1</v>
      </c>
      <c r="AC41" s="1486">
        <f>OFFSET(AC41,0,-1)+1</f>
        <v>2</v>
      </c>
      <c r="AD41" s="2276">
        <f>OFFSET(AD41,0,-1)+1</f>
        <v>3</v>
      </c>
      <c r="AE41" s="2276"/>
      <c r="AF41" s="1486">
        <f>OFFSET(AF41,0,-2)+1</f>
        <v>4</v>
      </c>
      <c r="AG41" s="1486">
        <f>OFFSET(AG41,0,-1)+1</f>
        <v>5</v>
      </c>
      <c r="AH41" s="1983"/>
      <c r="AI41" s="1983"/>
      <c r="AJ41" s="1983"/>
      <c r="AK41" s="1983"/>
      <c r="AL41" s="1983"/>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274</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143</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274</v>
      </c>
      <c r="B43" s="1367" t="s">
        <v>275</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415</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416</v>
      </c>
      <c r="AU43" s="504"/>
      <c r="AV43" s="504" t="str">
        <f>IF(T43="","",T43)</f>
        <v>Территория действия тарифа</v>
      </c>
      <c r="AW43" s="504"/>
      <c r="AX43" s="504"/>
      <c r="AY43" s="1159">
        <v>23</v>
      </c>
    </row>
    <row customHeight="1" ht="24">
      <c r="A44" s="1367" t="s">
        <v>274</v>
      </c>
      <c r="B44" s="1367" t="s">
        <v>275</v>
      </c>
      <c r="C44" s="1367" t="s">
        <v>276</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548</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549</v>
      </c>
      <c r="AU44" s="504"/>
      <c r="AV44" s="504" t="str">
        <f>IF(T44="","",T44)</f>
        <v>Наименование централизованной системы горячего водоснабжения</v>
      </c>
      <c r="AW44" s="504"/>
      <c r="AX44" s="504"/>
      <c r="AY44" s="1159">
        <v>23</v>
      </c>
    </row>
    <row customHeight="1" ht="24">
      <c r="A45" s="1367" t="s">
        <v>274</v>
      </c>
      <c r="B45" s="1367" t="s">
        <v>275</v>
      </c>
      <c r="C45" s="1367" t="s">
        <v>276</v>
      </c>
      <c r="D45" s="1367" t="s">
        <v>561</v>
      </c>
      <c r="E45" s="2263"/>
      <c r="F45" s="2263"/>
      <c r="G45" s="2263"/>
      <c r="H45" s="2263"/>
      <c r="I45" s="2260" t="str">
        <f>S44&amp;".1"</f>
        <v>...1</v>
      </c>
      <c r="J45" s="1367"/>
      <c r="K45" s="1367"/>
      <c r="L45" s="1368"/>
      <c r="P45" s="2261">
        <v>1</v>
      </c>
      <c r="Q45" s="1485"/>
      <c r="R45" s="360"/>
      <c r="S45" s="1497" t="str">
        <f>$I45</f>
        <v>...1</v>
      </c>
      <c r="T45" s="289" t="s">
        <v>501</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502</v>
      </c>
      <c r="AU45" s="504"/>
      <c r="AV45" s="504" t="str">
        <f>IF(T45="","",T45)</f>
        <v>Наименование признака дифференциации</v>
      </c>
      <c r="AW45" s="504"/>
      <c r="AX45" s="504"/>
      <c r="AY45" s="1159">
        <v>23</v>
      </c>
    </row>
    <row customHeight="1" ht="24">
      <c r="A46" s="1367" t="s">
        <v>274</v>
      </c>
      <c r="B46" s="1367" t="s">
        <v>275</v>
      </c>
      <c r="C46" s="1367" t="s">
        <v>276</v>
      </c>
      <c r="D46" s="1367" t="s">
        <v>561</v>
      </c>
      <c r="E46" s="2263"/>
      <c r="F46" s="2263"/>
      <c r="G46" s="2263"/>
      <c r="H46" s="2263"/>
      <c r="I46" s="2290"/>
      <c r="J46" s="2260" t="str">
        <f>I45&amp;".1"</f>
        <v>...1.1</v>
      </c>
      <c r="K46" s="1367"/>
      <c r="L46" s="1368" t="s">
        <v>424</v>
      </c>
      <c r="P46" s="2261"/>
      <c r="Q46" s="2261">
        <v>1</v>
      </c>
      <c r="R46" s="361"/>
      <c r="S46" s="1497" t="str">
        <f>$J46</f>
        <v>...1.1</v>
      </c>
      <c r="T46" s="290" t="s">
        <v>425</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503</v>
      </c>
      <c r="AU46" s="504"/>
      <c r="AV46" s="504" t="str">
        <f>IF(T46="","",T46)</f>
        <v>Группа потребителей</v>
      </c>
      <c r="AW46" s="504"/>
      <c r="AX46" s="504"/>
      <c r="AY46" s="1159">
        <v>23</v>
      </c>
    </row>
    <row customHeight="1" ht="24">
      <c r="A47" s="1367" t="s">
        <v>274</v>
      </c>
      <c r="B47" s="1367" t="s">
        <v>275</v>
      </c>
      <c r="C47" s="1367" t="s">
        <v>276</v>
      </c>
      <c r="D47" s="1367" t="s">
        <v>561</v>
      </c>
      <c r="E47" s="2263"/>
      <c r="F47" s="2263"/>
      <c r="G47" s="2263"/>
      <c r="H47" s="2263"/>
      <c r="I47" s="2290"/>
      <c r="J47" s="2290"/>
      <c r="K47" s="2260" t="str">
        <f>J46&amp;".1"</f>
        <v>...1.1.1</v>
      </c>
      <c r="L47" s="1368"/>
      <c r="P47" s="2261"/>
      <c r="Q47" s="2261"/>
      <c r="R47" s="361">
        <v>1</v>
      </c>
      <c r="S47" s="1497" t="str">
        <f>$K47</f>
        <v>...1.1.1</v>
      </c>
      <c r="T47" s="1441"/>
      <c r="U47" s="304"/>
      <c r="V47" s="1364"/>
      <c r="W47" s="1364"/>
      <c r="X47" s="1364"/>
      <c r="Y47" s="1364"/>
      <c r="Z47" s="1364"/>
      <c r="AA47" s="1364"/>
      <c r="AB47" s="1365"/>
      <c r="AC47" s="2271"/>
      <c r="AD47" s="2272" t="s">
        <v>62</v>
      </c>
      <c r="AE47" s="2271"/>
      <c r="AF47" s="2272" t="s">
        <v>62</v>
      </c>
      <c r="AG47" s="755"/>
      <c r="AH47" s="755"/>
      <c r="AI47" s="755"/>
      <c r="AJ47" s="755"/>
      <c r="AK47" s="755"/>
      <c r="AL47" s="755"/>
      <c r="AM47" s="1261"/>
      <c r="AN47" s="2269"/>
      <c r="AO47" s="2111" t="s">
        <v>62</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274</v>
      </c>
      <c r="B48" s="1367" t="s">
        <v>275</v>
      </c>
      <c r="C48" s="1367" t="s">
        <v>276</v>
      </c>
      <c r="D48" s="1367" t="s">
        <v>561</v>
      </c>
      <c r="E48" s="2263"/>
      <c r="F48" s="2263"/>
      <c r="G48" s="2263"/>
      <c r="H48" s="2263"/>
      <c r="I48" s="2290"/>
      <c r="J48" s="2290"/>
      <c r="K48" s="2260"/>
      <c r="L48" s="1368"/>
      <c r="P48" s="2261"/>
      <c r="Q48" s="2261"/>
      <c r="R48" s="361"/>
      <c r="S48" s="1494"/>
      <c r="T48" s="304"/>
      <c r="U48" s="304"/>
      <c r="V48" s="1364"/>
      <c r="W48" s="1364"/>
      <c r="X48" s="1364"/>
      <c r="Y48" s="1364"/>
      <c r="Z48" s="1364"/>
      <c r="AA48" s="1364"/>
      <c r="AB48" s="332" t="str">
        <f>AC47&amp;"-"&amp;AE47</f>
        <v>-</v>
      </c>
      <c r="AC48" s="2272"/>
      <c r="AD48" s="2272"/>
      <c r="AE48" s="2272"/>
      <c r="AF48" s="2272"/>
      <c r="AG48" s="329"/>
      <c r="AH48" s="329"/>
      <c r="AI48" s="329"/>
      <c r="AJ48" s="329"/>
      <c r="AK48" s="329"/>
      <c r="AL48" s="329"/>
      <c r="AM48" s="332" t="str">
        <f>AN47&amp;"-"&amp;AP47</f>
        <v>-</v>
      </c>
      <c r="AN48" s="2270"/>
      <c r="AO48" s="2111"/>
      <c r="AP48" s="2292"/>
      <c r="AQ48" s="2111"/>
      <c r="AR48" s="1443"/>
      <c r="AS48" s="2353"/>
      <c r="AU48" s="504"/>
      <c r="AV48" s="504" t="str">
        <f>IF(T48="","",T48)</f>
        <v/>
      </c>
      <c r="AW48" s="504"/>
      <c r="AX48" s="504"/>
      <c r="AY48" s="1159">
        <v>0</v>
      </c>
    </row>
    <row customHeight="1" ht="21">
      <c r="A49" s="1367" t="s">
        <v>274</v>
      </c>
      <c r="B49" s="1367" t="s">
        <v>275</v>
      </c>
      <c r="C49" s="1367" t="s">
        <v>276</v>
      </c>
      <c r="D49" s="1367" t="s">
        <v>561</v>
      </c>
      <c r="E49" s="2263"/>
      <c r="F49" s="2263"/>
      <c r="G49" s="2263"/>
      <c r="H49" s="2263"/>
      <c r="I49" s="2290"/>
      <c r="J49" s="2260"/>
      <c r="K49" s="1367"/>
      <c r="L49" s="1368"/>
      <c r="P49" s="2261"/>
      <c r="Q49" s="2261"/>
      <c r="R49" s="360"/>
      <c r="S49" s="1282"/>
      <c r="T49" s="291" t="s">
        <v>504</v>
      </c>
      <c r="U49" s="371"/>
      <c r="V49" s="371"/>
      <c r="W49" s="604"/>
      <c r="X49" s="604"/>
      <c r="Y49" s="604"/>
      <c r="Z49" s="604"/>
      <c r="AA49" s="604"/>
      <c r="AB49" s="371"/>
      <c r="AC49" s="371"/>
      <c r="AD49" s="371"/>
      <c r="AE49" s="371"/>
      <c r="AF49" s="371"/>
      <c r="AG49" s="371"/>
      <c r="AH49" s="604"/>
      <c r="AI49" s="604"/>
      <c r="AJ49" s="604"/>
      <c r="AK49" s="604"/>
      <c r="AL49" s="604"/>
      <c r="AM49" s="371"/>
      <c r="AN49" s="371"/>
      <c r="AO49" s="371"/>
      <c r="AP49" s="371"/>
      <c r="AQ49" s="371"/>
      <c r="AR49" s="371"/>
      <c r="AS49" s="1262" t="s">
        <v>505</v>
      </c>
      <c r="AU49" s="504"/>
      <c r="AV49" s="504" t="str">
        <f>IF(T49="","",T49)</f>
        <v>Добавить значение признака дифференциации</v>
      </c>
      <c r="AW49" s="504"/>
      <c r="AX49" s="504"/>
      <c r="AY49" s="1159">
        <v>20</v>
      </c>
    </row>
    <row customHeight="1" ht="22.049999999999997">
      <c r="A50" s="1367" t="s">
        <v>274</v>
      </c>
      <c r="B50" s="1367" t="s">
        <v>275</v>
      </c>
      <c r="C50" s="1367" t="s">
        <v>276</v>
      </c>
      <c r="D50" s="1367" t="s">
        <v>561</v>
      </c>
      <c r="E50" s="2263"/>
      <c r="F50" s="2263"/>
      <c r="G50" s="2263"/>
      <c r="H50" s="2263"/>
      <c r="I50" s="2260"/>
      <c r="J50" s="1367"/>
      <c r="K50" s="1367"/>
      <c r="L50" s="1368"/>
      <c r="P50" s="2261"/>
      <c r="Q50" s="1485"/>
      <c r="R50" s="360"/>
      <c r="S50" s="1282"/>
      <c r="T50" s="369" t="s">
        <v>430</v>
      </c>
      <c r="U50" s="371"/>
      <c r="V50" s="371"/>
      <c r="W50" s="604"/>
      <c r="X50" s="604"/>
      <c r="Y50" s="604"/>
      <c r="Z50" s="604"/>
      <c r="AA50" s="604"/>
      <c r="AB50" s="371"/>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274</v>
      </c>
      <c r="B51" s="1367" t="s">
        <v>275</v>
      </c>
      <c r="C51" s="1367" t="s">
        <v>276</v>
      </c>
      <c r="D51" s="1367" t="s">
        <v>561</v>
      </c>
      <c r="E51" s="2263"/>
      <c r="F51" s="2263"/>
      <c r="G51" s="2263"/>
      <c r="H51" s="2262"/>
      <c r="I51" s="1367"/>
      <c r="J51" s="1367"/>
      <c r="K51" s="1367"/>
      <c r="L51" s="1368"/>
      <c r="M51" s="1369"/>
      <c r="N51" s="1369"/>
      <c r="O51" s="541"/>
      <c r="P51" s="364"/>
      <c r="Q51" s="379"/>
      <c r="R51" s="359"/>
      <c r="S51" s="1282"/>
      <c r="T51" s="376" t="s">
        <v>506</v>
      </c>
      <c r="U51" s="371"/>
      <c r="V51" s="371"/>
      <c r="W51" s="604"/>
      <c r="X51" s="604"/>
      <c r="Y51" s="604"/>
      <c r="Z51" s="604"/>
      <c r="AA51" s="604"/>
      <c r="AB51" s="371"/>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274</v>
      </c>
      <c r="B52" s="1347" t="s">
        <v>275</v>
      </c>
      <c r="C52" s="1318"/>
      <c r="D52" s="1318"/>
      <c r="E52" s="2263"/>
      <c r="F52" s="2262"/>
      <c r="G52" s="1318"/>
      <c r="H52" s="1318"/>
      <c r="I52" s="1318"/>
      <c r="J52" s="1318"/>
      <c r="K52" s="1318"/>
      <c r="L52" s="1498"/>
      <c r="M52" s="1325"/>
      <c r="N52" s="1325"/>
      <c r="P52" s="1320"/>
      <c r="Q52" s="1321"/>
      <c r="R52" s="1320"/>
      <c r="S52" s="1326"/>
      <c r="T52" s="1329" t="s">
        <v>433</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274</v>
      </c>
      <c r="B53" s="1347"/>
      <c r="C53" s="1347"/>
      <c r="D53" s="1347"/>
      <c r="E53" s="2262"/>
      <c r="F53" s="1347"/>
      <c r="G53" s="1347"/>
      <c r="H53" s="1347"/>
      <c r="I53" s="1347"/>
      <c r="J53" s="1347"/>
      <c r="K53" s="1347"/>
      <c r="L53" s="1350"/>
      <c r="M53" s="1325"/>
      <c r="N53" s="1325"/>
      <c r="O53" s="522"/>
      <c r="P53" s="384"/>
      <c r="Q53" s="1348"/>
      <c r="R53" s="384"/>
      <c r="S53" s="1326"/>
      <c r="T53" s="1329" t="s">
        <v>434</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466</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82</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159">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EEA7E7-1CD7-C783-E2C9-82EFF09E851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143</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415</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416</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548</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549</v>
      </c>
      <c r="BE4" s="504"/>
      <c r="BF4" s="504" t="str">
        <f>IF(T4="","",T4)</f>
        <v>Наименование централизованной системы горячего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420</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421</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62</v>
      </c>
      <c r="AB8" s="1738"/>
      <c r="AC8" s="1473" t="s">
        <v>62</v>
      </c>
      <c r="AD8" s="2189" t="s">
        <v>62</v>
      </c>
      <c r="AE8" s="2330"/>
      <c r="AF8" s="2209">
        <v>1</v>
      </c>
      <c r="AG8" s="2367"/>
      <c r="AH8" s="2111" t="s">
        <v>62</v>
      </c>
      <c r="AI8" s="2330"/>
      <c r="AJ8" s="2209">
        <v>1</v>
      </c>
      <c r="AK8" s="2331" t="s">
        <v>22</v>
      </c>
      <c r="AL8" s="2111" t="s">
        <v>62</v>
      </c>
      <c r="AM8" s="2196"/>
      <c r="AN8" s="2209">
        <v>1</v>
      </c>
      <c r="AO8" s="2361"/>
      <c r="AP8" s="2362" t="s">
        <v>62</v>
      </c>
      <c r="AQ8" s="315"/>
      <c r="AR8" s="1490">
        <v>1</v>
      </c>
      <c r="AS8" s="1496" t="s">
        <v>22</v>
      </c>
      <c r="AT8" s="755"/>
      <c r="AU8" s="1261"/>
      <c r="AV8" s="755"/>
      <c r="AW8" s="1261"/>
      <c r="AX8" s="1738"/>
      <c r="AY8" s="1473" t="s">
        <v>62</v>
      </c>
      <c r="AZ8" s="1738"/>
      <c r="BA8" s="1473" t="s">
        <v>62</v>
      </c>
      <c r="BB8" s="1352"/>
      <c r="BC8" s="2257" t="s">
        <v>519</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520</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521</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522</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523</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486</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433</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434</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62</v>
      </c>
      <c r="AZ20" s="1740"/>
      <c r="BA20" s="1489" t="s">
        <v>62</v>
      </c>
      <c r="BI20" s="1159">
        <v>0</v>
      </c>
    </row>
    <row customHeight="1" ht="14.25" hidden="1">
      <c r="BD21" s="500"/>
      <c r="BE21" s="500"/>
      <c r="BF21" s="500"/>
      <c r="BG21" s="500"/>
      <c r="BH21" s="500"/>
      <c r="BI21" s="1159">
        <v>0</v>
      </c>
    </row>
    <row customHeight="1" ht="14.25" hidden="1">
      <c r="O22" s="1371" t="s">
        <v>435</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436</v>
      </c>
      <c r="P24" s="1512"/>
      <c r="Q24" s="1514"/>
      <c r="R24" s="1514"/>
      <c r="AA24" s="1511" t="s">
        <v>438</v>
      </c>
      <c r="AC24" s="1511" t="s">
        <v>439</v>
      </c>
      <c r="AD24" s="1511" t="s">
        <v>487</v>
      </c>
      <c r="AH24" s="1511" t="s">
        <v>487</v>
      </c>
      <c r="AK24" s="1511" t="s">
        <v>524</v>
      </c>
      <c r="AL24" s="1511" t="s">
        <v>487</v>
      </c>
      <c r="AP24" s="1511" t="s">
        <v>487</v>
      </c>
      <c r="AY24" s="1511" t="s">
        <v>438</v>
      </c>
      <c r="BA24" s="1511" t="s">
        <v>439</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АО "Теплоэнерго"</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41</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441</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442</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42</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441</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442</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445</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445</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318</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319</v>
      </c>
      <c r="BI40" s="1159">
        <v>14</v>
      </c>
    </row>
    <row customHeight="1" ht="14.699999999999998">
      <c r="Q41" s="295"/>
      <c r="R41" s="380"/>
      <c r="S41" s="2277" t="s">
        <v>88</v>
      </c>
      <c r="T41" s="2213" t="s">
        <v>525</v>
      </c>
      <c r="U41" s="305"/>
      <c r="V41" s="2278" t="s">
        <v>447</v>
      </c>
      <c r="W41" s="2279"/>
      <c r="X41" s="2279"/>
      <c r="Y41" s="2279"/>
      <c r="Z41" s="2279"/>
      <c r="AA41" s="2279"/>
      <c r="AB41" s="2280"/>
      <c r="AC41" s="2281" t="s">
        <v>448</v>
      </c>
      <c r="AD41" s="2332" t="s">
        <v>526</v>
      </c>
      <c r="AE41" s="2295"/>
      <c r="AF41" s="2295"/>
      <c r="AG41" s="2333"/>
      <c r="AH41" s="2332" t="s">
        <v>527</v>
      </c>
      <c r="AI41" s="2295"/>
      <c r="AJ41" s="2295"/>
      <c r="AK41" s="2333"/>
      <c r="AL41" s="2332" t="s">
        <v>528</v>
      </c>
      <c r="AM41" s="2295"/>
      <c r="AN41" s="2295"/>
      <c r="AO41" s="2333"/>
      <c r="AP41" s="2332" t="s">
        <v>529</v>
      </c>
      <c r="AQ41" s="2295"/>
      <c r="AR41" s="2295"/>
      <c r="AS41" s="2333"/>
      <c r="AT41" s="2278" t="s">
        <v>447</v>
      </c>
      <c r="AU41" s="2279"/>
      <c r="AV41" s="2279"/>
      <c r="AW41" s="2279"/>
      <c r="AX41" s="2279"/>
      <c r="AY41" s="2279"/>
      <c r="AZ41" s="2280"/>
      <c r="BA41" s="2281" t="s">
        <v>448</v>
      </c>
      <c r="BB41" s="2284" t="s">
        <v>450</v>
      </c>
      <c r="BC41" s="2131"/>
      <c r="BI41" s="1159">
        <v>14</v>
      </c>
    </row>
    <row customHeight="1" ht="35.699999999999996">
      <c r="Q42" s="295"/>
      <c r="R42" s="380"/>
      <c r="S42" s="2277"/>
      <c r="T42" s="2213"/>
      <c r="U42" s="1035"/>
      <c r="V42" s="2196" t="s">
        <v>530</v>
      </c>
      <c r="W42" s="2197"/>
      <c r="X42" s="2196" t="s">
        <v>531</v>
      </c>
      <c r="Y42" s="2197"/>
      <c r="Z42" s="2298" t="s">
        <v>532</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530</v>
      </c>
      <c r="AU42" s="2197"/>
      <c r="AV42" s="2196" t="s">
        <v>531</v>
      </c>
      <c r="AW42" s="2197"/>
      <c r="AX42" s="2298" t="s">
        <v>532</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155</v>
      </c>
      <c r="C44" s="1374" t="s">
        <v>156</v>
      </c>
      <c r="D44" s="1374" t="s">
        <v>157</v>
      </c>
      <c r="E44" s="1368" t="s">
        <v>455</v>
      </c>
      <c r="F44" s="1368" t="s">
        <v>456</v>
      </c>
      <c r="G44" s="1368" t="s">
        <v>457</v>
      </c>
      <c r="H44" s="1368" t="s">
        <v>458</v>
      </c>
      <c r="I44" s="1368" t="s">
        <v>459</v>
      </c>
      <c r="J44" s="1368" t="s">
        <v>460</v>
      </c>
      <c r="K44" s="1368" t="s">
        <v>461</v>
      </c>
      <c r="L44" s="1368" t="s">
        <v>436</v>
      </c>
      <c r="Q44" s="295"/>
      <c r="R44" s="380"/>
      <c r="S44" s="2277"/>
      <c r="T44" s="2213"/>
      <c r="U44" s="306"/>
      <c r="V44" s="1483" t="s">
        <v>496</v>
      </c>
      <c r="W44" s="1483" t="s">
        <v>497</v>
      </c>
      <c r="X44" s="1483" t="s">
        <v>496</v>
      </c>
      <c r="Y44" s="1483" t="s">
        <v>497</v>
      </c>
      <c r="Z44" s="1493" t="s">
        <v>464</v>
      </c>
      <c r="AA44" s="2274" t="s">
        <v>465</v>
      </c>
      <c r="AB44" s="2275"/>
      <c r="AC44" s="2283"/>
      <c r="AD44" s="2337"/>
      <c r="AE44" s="2338"/>
      <c r="AF44" s="2338"/>
      <c r="AG44" s="2339"/>
      <c r="AH44" s="2337"/>
      <c r="AI44" s="2338"/>
      <c r="AJ44" s="2338"/>
      <c r="AK44" s="2339"/>
      <c r="AL44" s="2337"/>
      <c r="AM44" s="2338"/>
      <c r="AN44" s="2338"/>
      <c r="AO44" s="2339"/>
      <c r="AP44" s="2337"/>
      <c r="AQ44" s="2338"/>
      <c r="AR44" s="2338"/>
      <c r="AS44" s="2339"/>
      <c r="AT44" s="1483" t="s">
        <v>496</v>
      </c>
      <c r="AU44" s="1483" t="s">
        <v>497</v>
      </c>
      <c r="AV44" s="1483" t="s">
        <v>496</v>
      </c>
      <c r="AW44" s="1483" t="s">
        <v>497</v>
      </c>
      <c r="AX44" s="1493" t="s">
        <v>464</v>
      </c>
      <c r="AY44" s="2274" t="s">
        <v>465</v>
      </c>
      <c r="AZ44" s="2275"/>
      <c r="BA44" s="2283"/>
      <c r="BB44" s="2286"/>
      <c r="BC44" s="2131"/>
      <c r="BI44" s="1159">
        <v>14</v>
      </c>
    </row>
    <row s="1645" customFormat="1" customHeight="1" ht="0">
      <c r="A45" s="1374"/>
      <c r="B45" s="1374"/>
      <c r="C45" s="1374"/>
      <c r="D45" s="1374"/>
      <c r="E45" s="1374"/>
      <c r="F45" s="1374"/>
      <c r="G45" s="1374"/>
      <c r="H45" s="1374"/>
      <c r="I45" s="1374"/>
      <c r="J45" s="1374"/>
      <c r="K45" s="1374"/>
      <c r="L45" s="1368"/>
      <c r="M45" s="1366"/>
      <c r="N45" s="1366"/>
      <c r="O45" s="1366"/>
      <c r="P45" s="514"/>
      <c r="Q45" s="1258"/>
      <c r="R45" s="1258">
        <v>1</v>
      </c>
      <c r="S45" s="1281" t="s">
        <v>119</v>
      </c>
      <c r="T45" s="1259" t="s">
        <v>103</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279</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143</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279</v>
      </c>
      <c r="B47" s="1367" t="s">
        <v>280</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415</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416</v>
      </c>
      <c r="BE47" s="504"/>
      <c r="BF47" s="504" t="str">
        <f>IF(T47="","",T47)</f>
        <v>Территория действия тарифа</v>
      </c>
      <c r="BG47" s="504"/>
      <c r="BH47" s="504"/>
      <c r="BI47" s="1159">
        <v>21</v>
      </c>
    </row>
    <row customHeight="1" ht="35.699999999999996">
      <c r="A48" s="1367" t="s">
        <v>279</v>
      </c>
      <c r="B48" s="1367" t="s">
        <v>280</v>
      </c>
      <c r="C48" s="1367" t="s">
        <v>281</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548</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549</v>
      </c>
      <c r="BE48" s="504"/>
      <c r="BF48" s="504" t="str">
        <f>IF(T48="","",T48)</f>
        <v>Наименование централизованной системы горячего водоснабжения</v>
      </c>
      <c r="BG48" s="504"/>
      <c r="BH48" s="504"/>
      <c r="BI48" s="1159">
        <v>34</v>
      </c>
    </row>
    <row s="1646" customFormat="1" customHeight="1" ht="0">
      <c r="A49" s="1347" t="s">
        <v>279</v>
      </c>
      <c r="B49" s="1347" t="s">
        <v>280</v>
      </c>
      <c r="C49" s="1347" t="s">
        <v>281</v>
      </c>
      <c r="D49" s="1347" t="s">
        <v>562</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420</v>
      </c>
      <c r="BE49" s="504"/>
      <c r="BF49" s="504" t="str">
        <f>IF(T49="","",T49)</f>
        <v/>
      </c>
      <c r="BG49" s="504"/>
      <c r="BH49" s="504"/>
      <c r="BI49" s="515">
        <v>0</v>
      </c>
    </row>
    <row s="1646" customFormat="1" customHeight="1" ht="0">
      <c r="A50" s="1347" t="s">
        <v>279</v>
      </c>
      <c r="B50" s="1347" t="s">
        <v>280</v>
      </c>
      <c r="C50" s="1347" t="s">
        <v>281</v>
      </c>
      <c r="D50" s="1347" t="s">
        <v>562</v>
      </c>
      <c r="E50" s="2263"/>
      <c r="F50" s="2263"/>
      <c r="G50" s="2263"/>
      <c r="H50" s="2263"/>
      <c r="I50" s="2260" t="str">
        <f>S49&amp;".1"</f>
        <v>.1</v>
      </c>
      <c r="J50" s="1347"/>
      <c r="K50" s="1347"/>
      <c r="L50" s="1350" t="s">
        <v>421</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279</v>
      </c>
      <c r="B51" s="1347" t="s">
        <v>280</v>
      </c>
      <c r="C51" s="1347" t="s">
        <v>281</v>
      </c>
      <c r="D51" s="1347" t="s">
        <v>562</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279</v>
      </c>
      <c r="B52" s="1367" t="s">
        <v>280</v>
      </c>
      <c r="C52" s="1367" t="s">
        <v>281</v>
      </c>
      <c r="D52" s="1367" t="s">
        <v>562</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62</v>
      </c>
      <c r="AB52" s="1738"/>
      <c r="AC52" s="1473" t="s">
        <v>62</v>
      </c>
      <c r="AD52" s="2189" t="s">
        <v>62</v>
      </c>
      <c r="AE52" s="2330"/>
      <c r="AF52" s="2209">
        <v>1</v>
      </c>
      <c r="AG52" s="2367"/>
      <c r="AH52" s="2111" t="s">
        <v>62</v>
      </c>
      <c r="AI52" s="2330"/>
      <c r="AJ52" s="2209">
        <v>1</v>
      </c>
      <c r="AK52" s="2331" t="s">
        <v>22</v>
      </c>
      <c r="AL52" s="2111" t="s">
        <v>62</v>
      </c>
      <c r="AM52" s="2196"/>
      <c r="AN52" s="2209">
        <v>1</v>
      </c>
      <c r="AO52" s="2361"/>
      <c r="AP52" s="2362" t="s">
        <v>62</v>
      </c>
      <c r="AQ52" s="315"/>
      <c r="AR52" s="1490">
        <v>1</v>
      </c>
      <c r="AS52" s="1496" t="s">
        <v>22</v>
      </c>
      <c r="AT52" s="755"/>
      <c r="AU52" s="1261"/>
      <c r="AV52" s="755"/>
      <c r="AW52" s="1261"/>
      <c r="AX52" s="1738"/>
      <c r="AY52" s="1473" t="s">
        <v>62</v>
      </c>
      <c r="AZ52" s="1738"/>
      <c r="BA52" s="1473" t="s">
        <v>62</v>
      </c>
      <c r="BB52" s="1352"/>
      <c r="BC52" s="2257" t="s">
        <v>519</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520</v>
      </c>
      <c r="AT53" s="1397"/>
      <c r="AU53" s="1500"/>
      <c r="AV53" s="1397"/>
      <c r="AW53" s="1500"/>
      <c r="AX53" s="1397"/>
      <c r="AY53" s="1397"/>
      <c r="AZ53" s="1397"/>
      <c r="BA53" s="1397"/>
      <c r="BB53" s="1401"/>
      <c r="BC53" s="2258"/>
      <c r="BE53" s="504"/>
      <c r="BF53" s="504"/>
      <c r="BG53" s="504"/>
      <c r="BH53" s="504"/>
      <c r="BI53" s="1159">
        <v>11</v>
      </c>
    </row>
    <row customHeight="1" ht="11.549999999999999">
      <c r="A54" s="1367" t="s">
        <v>279</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521</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279</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522</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279</v>
      </c>
      <c r="B56" s="1367" t="s">
        <v>280</v>
      </c>
      <c r="C56" s="1367" t="s">
        <v>281</v>
      </c>
      <c r="D56" s="1367" t="s">
        <v>562</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523</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279</v>
      </c>
      <c r="B57" s="1367" t="s">
        <v>280</v>
      </c>
      <c r="C57" s="1367" t="s">
        <v>281</v>
      </c>
      <c r="D57" s="1367" t="s">
        <v>562</v>
      </c>
      <c r="E57" s="2263"/>
      <c r="F57" s="2263"/>
      <c r="G57" s="2263"/>
      <c r="H57" s="2263"/>
      <c r="I57" s="2290"/>
      <c r="J57" s="2260"/>
      <c r="K57" s="1367"/>
      <c r="L57" s="1368"/>
      <c r="P57" s="2261"/>
      <c r="Q57" s="2261"/>
      <c r="R57" s="360"/>
      <c r="S57" s="1282"/>
      <c r="T57" s="291" t="s">
        <v>486</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279</v>
      </c>
      <c r="B58" s="1347" t="s">
        <v>280</v>
      </c>
      <c r="C58" s="1347" t="s">
        <v>281</v>
      </c>
      <c r="D58" s="1347" t="s">
        <v>562</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279</v>
      </c>
      <c r="B59" s="1347" t="s">
        <v>280</v>
      </c>
      <c r="C59" s="1347" t="s">
        <v>281</v>
      </c>
      <c r="D59" s="1347" t="s">
        <v>562</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279</v>
      </c>
      <c r="B60" s="1347" t="s">
        <v>280</v>
      </c>
      <c r="C60" s="1347" t="s">
        <v>281</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279</v>
      </c>
      <c r="B61" s="1347" t="s">
        <v>280</v>
      </c>
      <c r="C61" s="1318"/>
      <c r="D61" s="1318"/>
      <c r="E61" s="2263"/>
      <c r="F61" s="2262"/>
      <c r="G61" s="1318"/>
      <c r="H61" s="1318"/>
      <c r="I61" s="1318"/>
      <c r="J61" s="1318"/>
      <c r="K61" s="1318"/>
      <c r="L61" s="1498"/>
      <c r="M61" s="1325"/>
      <c r="N61" s="1325"/>
      <c r="P61" s="1320"/>
      <c r="Q61" s="1321"/>
      <c r="R61" s="1320"/>
      <c r="S61" s="1326"/>
      <c r="T61" s="1329" t="s">
        <v>433</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279</v>
      </c>
      <c r="B62" s="1347"/>
      <c r="C62" s="1347"/>
      <c r="D62" s="1347"/>
      <c r="E62" s="2262"/>
      <c r="F62" s="1347"/>
      <c r="G62" s="1347"/>
      <c r="H62" s="1347"/>
      <c r="I62" s="1347"/>
      <c r="J62" s="1347"/>
      <c r="K62" s="1347"/>
      <c r="L62" s="1350"/>
      <c r="M62" s="1325"/>
      <c r="N62" s="1325"/>
      <c r="O62" s="522"/>
      <c r="P62" s="384"/>
      <c r="Q62" s="1348"/>
      <c r="R62" s="384"/>
      <c r="S62" s="1326"/>
      <c r="T62" s="1329" t="s">
        <v>434</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466</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82</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167F89-E035-EB5B-BDC2-B7EFCBFF808B}" mc:Ignorable="x14ac xr xr2 xr3">
  <sheetPr>
    <tabColor theme="9" tint="-0.25"/>
  </sheetPr>
  <dimension ref="A1:AL648"/>
  <sheetViews>
    <sheetView showGridLines="0" workbookViewId="0" tabSelected="1">
      <pane xSplit="8" ySplit="29" topLeftCell="L467" activePane="bottomRight" state="frozen"/>
      <selection pane="bottomLeft" activeCell="A30" sqref="A30"/>
      <selection pane="topRight" activeCell="I1" sqref="I1"/>
      <selection pane="bottomRight" activeCell="K474" sqref="K474:O474"/>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10" style="1639" width="40.7109375" customWidth="1"/>
    <col min="11" max="11" style="1639" width="37.00390625" customWidth="1"/>
    <col min="12" max="12" style="1639" width="28.421875" customWidth="1"/>
    <col min="13" max="13" style="1639" width="35.7109375" customWidth="1"/>
    <col min="14" max="14" style="1639" width="27.140625" customWidth="1"/>
    <col min="15" max="15" style="1639" width="33.140625" customWidth="1"/>
    <col min="16" max="16" style="1639" width="102.00390625" customWidth="1"/>
    <col min="17" max="17" style="1370" width="9.00390625" customWidth="1"/>
    <col min="18" max="18" style="1646" width="5.00390625" customWidth="1"/>
    <col min="19" max="19" style="1646" width="3.00390625" customWidth="1"/>
    <col min="20" max="23" style="1370" width="3.00390625" customWidth="1"/>
    <col min="24" max="24" style="1646" width="10.00390625" customWidth="1"/>
    <col min="25" max="25" style="1370" width="34.00390625" customWidth="1"/>
    <col min="26" max="26" style="1370" width="9.00390625" customWidth="1"/>
    <col min="27" max="27" style="740" width="8.00390625" customWidth="1"/>
    <col min="28" max="32" style="1370" width="8.00390625" customWidth="1"/>
    <col min="33" max="37" style="1636" width="8.00390625" customWidth="1"/>
    <col min="38" max="38" style="1639" width="9.140625" hidden="1"/>
  </cols>
  <sheetData>
    <row customHeight="1" ht="22.5" hidden="1">
      <c r="J1" s="1639"/>
      <c r="K1" s="1639"/>
      <c r="L1" s="1639"/>
      <c r="M1" s="1639"/>
      <c r="N1" s="1639"/>
      <c r="O1" s="1639"/>
      <c r="AL1" s="1635" t="s">
        <v>14</v>
      </c>
    </row>
    <row customHeight="1" ht="23.25" hidden="1">
      <c r="B2" s="2103"/>
      <c r="C2" s="1171" t="s">
        <v>563</v>
      </c>
      <c r="D2" s="1642"/>
      <c r="E2" s="550">
        <f>B2</f>
        <v>0</v>
      </c>
      <c r="F2" s="551"/>
      <c r="G2" s="1650" t="s">
        <v>564</v>
      </c>
      <c r="H2" s="1650" t="s">
        <v>564</v>
      </c>
      <c r="I2" s="1650" t="s">
        <v>564</v>
      </c>
      <c r="J2" s="2370" t="s">
        <v>564</v>
      </c>
      <c r="K2" s="2370" t="s">
        <v>564</v>
      </c>
      <c r="L2" s="2370" t="s">
        <v>564</v>
      </c>
      <c r="M2" s="2370" t="s">
        <v>564</v>
      </c>
      <c r="N2" s="2370" t="s">
        <v>564</v>
      </c>
      <c r="O2" s="2370" t="s">
        <v>564</v>
      </c>
      <c r="P2" s="293" t="s">
        <v>565</v>
      </c>
      <c r="Q2" s="547"/>
      <c r="AL2" s="1635">
        <v>0</v>
      </c>
    </row>
    <row s="1646" customFormat="1" customHeight="1" ht="0.75" hidden="1">
      <c r="B3" s="2103"/>
      <c r="C3" s="1171"/>
      <c r="D3" s="552"/>
      <c r="E3" s="553"/>
      <c r="F3" s="554" t="s">
        <v>566</v>
      </c>
      <c r="G3" s="555"/>
      <c r="H3" s="1017">
        <f>H4*H5+H6</f>
        <v>0</v>
      </c>
      <c r="I3" s="555">
        <f>I4*I5+I6</f>
        <v>0</v>
      </c>
      <c r="J3" s="1377">
        <f>J4*J5+J6</f>
        <v>0</v>
      </c>
      <c r="K3" s="1377">
        <f>K4*K5+K6</f>
        <v>0</v>
      </c>
      <c r="L3" s="1377">
        <f>L4*L5+L6</f>
        <v>0</v>
      </c>
      <c r="M3" s="1377">
        <f>M4*M5+M6</f>
        <v>0</v>
      </c>
      <c r="N3" s="1377">
        <f>N4*N5+N6</f>
        <v>0</v>
      </c>
      <c r="O3" s="1377">
        <f>O4*O5+O6</f>
        <v>0</v>
      </c>
      <c r="P3" s="556"/>
      <c r="AL3" s="1640">
        <v>0</v>
      </c>
    </row>
    <row customHeight="1" ht="23.25" hidden="1">
      <c r="B4" s="2103"/>
      <c r="C4" s="1171"/>
      <c r="D4" s="1642"/>
      <c r="E4" s="550" t="str">
        <f>B2&amp;".1"</f>
        <v>.1</v>
      </c>
      <c r="F4" s="557" t="s">
        <v>567</v>
      </c>
      <c r="G4" s="558"/>
      <c r="H4" s="545"/>
      <c r="I4" s="545"/>
      <c r="J4" s="755"/>
      <c r="K4" s="755"/>
      <c r="L4" s="755"/>
      <c r="M4" s="755"/>
      <c r="N4" s="755"/>
      <c r="O4" s="755"/>
      <c r="P4" s="293" t="s">
        <v>568</v>
      </c>
      <c r="Q4" s="547"/>
      <c r="AL4" s="1635">
        <v>0</v>
      </c>
    </row>
    <row customHeight="1" ht="18.75" hidden="1">
      <c r="B5" s="2103"/>
      <c r="C5" s="1171"/>
      <c r="D5" s="1642"/>
      <c r="E5" s="550" t="str">
        <f>B2&amp;".2"</f>
        <v>.2</v>
      </c>
      <c r="F5" s="557" t="s">
        <v>569</v>
      </c>
      <c r="G5" s="1650" t="s">
        <v>570</v>
      </c>
      <c r="H5" s="545"/>
      <c r="I5" s="545"/>
      <c r="J5" s="755"/>
      <c r="K5" s="755"/>
      <c r="L5" s="755"/>
      <c r="M5" s="755"/>
      <c r="N5" s="755"/>
      <c r="O5" s="755"/>
      <c r="P5" s="293"/>
      <c r="Q5" s="547"/>
      <c r="AL5" s="1635">
        <v>0</v>
      </c>
    </row>
    <row customHeight="1" ht="18.75" hidden="1">
      <c r="B6" s="2103"/>
      <c r="C6" s="1171"/>
      <c r="D6" s="1642"/>
      <c r="E6" s="550" t="str">
        <f>B2&amp;".3"</f>
        <v>.3</v>
      </c>
      <c r="F6" s="557" t="s">
        <v>571</v>
      </c>
      <c r="G6" s="1650" t="s">
        <v>570</v>
      </c>
      <c r="H6" s="545"/>
      <c r="I6" s="545"/>
      <c r="J6" s="755"/>
      <c r="K6" s="755"/>
      <c r="L6" s="755"/>
      <c r="M6" s="755"/>
      <c r="N6" s="755"/>
      <c r="O6" s="755"/>
      <c r="P6" s="293"/>
      <c r="Q6" s="547"/>
      <c r="AL6" s="1635">
        <v>0</v>
      </c>
    </row>
    <row customHeight="1" ht="18.75" hidden="1">
      <c r="B7" s="2103"/>
      <c r="C7" s="1171"/>
      <c r="D7" s="1642"/>
      <c r="E7" s="550" t="str">
        <f>B2&amp;".4"</f>
        <v>.4</v>
      </c>
      <c r="F7" s="557" t="s">
        <v>572</v>
      </c>
      <c r="G7" s="1650" t="s">
        <v>564</v>
      </c>
      <c r="H7" s="559"/>
      <c r="I7" s="559"/>
      <c r="J7" s="559"/>
      <c r="K7" s="559"/>
      <c r="L7" s="559"/>
      <c r="M7" s="559"/>
      <c r="N7" s="559"/>
      <c r="O7" s="559"/>
      <c r="P7" s="293"/>
      <c r="Q7" s="547"/>
      <c r="AL7" s="1635">
        <v>0</v>
      </c>
    </row>
    <row s="1370" customFormat="1" customHeight="1" ht="11.25" hidden="1">
      <c r="A8" s="991"/>
      <c r="C8" s="1640"/>
      <c r="D8" s="541"/>
      <c r="H8" s="1164">
        <v>4</v>
      </c>
      <c r="I8" s="1164">
        <v>4</v>
      </c>
      <c r="J8" s="1370">
        <v>4</v>
      </c>
      <c r="K8" s="1370">
        <v>4</v>
      </c>
      <c r="L8" s="1370">
        <v>4</v>
      </c>
      <c r="M8" s="1370">
        <v>4</v>
      </c>
      <c r="N8" s="1370">
        <v>4</v>
      </c>
      <c r="O8" s="1370">
        <v>4</v>
      </c>
      <c r="R8" s="1640"/>
      <c r="S8" s="1640"/>
      <c r="X8" s="1640"/>
      <c r="AL8" s="1164">
        <v>0</v>
      </c>
    </row>
    <row s="1370" customFormat="1" customHeight="1" ht="22.5" hidden="1">
      <c r="A9" s="991"/>
      <c r="C9" s="1640"/>
      <c r="D9" s="542"/>
      <c r="E9" s="1652"/>
      <c r="F9" s="544"/>
      <c r="G9" s="1650" t="s">
        <v>570</v>
      </c>
      <c r="H9" s="545"/>
      <c r="I9" s="545"/>
      <c r="J9" s="755"/>
      <c r="K9" s="755"/>
      <c r="L9" s="755"/>
      <c r="M9" s="755"/>
      <c r="N9" s="755"/>
      <c r="O9" s="755"/>
      <c r="P9" s="546" t="s">
        <v>573</v>
      </c>
      <c r="Q9" s="547"/>
      <c r="R9" s="1640"/>
      <c r="S9" s="1640"/>
      <c r="X9" s="1640"/>
      <c r="AA9" s="548"/>
      <c r="AG9" s="1636"/>
      <c r="AH9" s="1636"/>
      <c r="AI9" s="1636"/>
      <c r="AJ9" s="1636"/>
      <c r="AK9" s="1636"/>
      <c r="AL9" s="1164">
        <v>0</v>
      </c>
    </row>
    <row customHeight="1" ht="11.25" hidden="1">
      <c r="J10" s="1639"/>
      <c r="K10" s="1639"/>
      <c r="L10" s="1639"/>
      <c r="M10" s="1639"/>
      <c r="N10" s="1639"/>
      <c r="O10" s="1639"/>
      <c r="AL10" s="1635">
        <v>0</v>
      </c>
    </row>
    <row customHeight="1" ht="18.75" hidden="1">
      <c r="D11" s="1642"/>
      <c r="E11" s="550"/>
      <c r="F11" s="544"/>
      <c r="G11" s="1650" t="s">
        <v>574</v>
      </c>
      <c r="H11" s="545"/>
      <c r="I11" s="545"/>
      <c r="J11" s="755"/>
      <c r="K11" s="755"/>
      <c r="L11" s="755"/>
      <c r="M11" s="755"/>
      <c r="N11" s="755"/>
      <c r="O11" s="755"/>
      <c r="P11" s="293" t="s">
        <v>575</v>
      </c>
      <c r="Q11" s="547"/>
      <c r="AL11" s="1635">
        <v>0</v>
      </c>
    </row>
    <row customHeight="1" ht="11.25" hidden="1">
      <c r="J12" s="1639"/>
      <c r="K12" s="1639"/>
      <c r="L12" s="1639"/>
      <c r="M12" s="1639"/>
      <c r="N12" s="1639"/>
      <c r="O12" s="1639"/>
      <c r="AL12" s="1635">
        <v>0</v>
      </c>
    </row>
    <row customHeight="1" ht="22.5" hidden="1">
      <c r="D13" s="1642"/>
      <c r="E13" s="550"/>
      <c r="F13" s="544"/>
      <c r="G13" s="973" t="s">
        <v>576</v>
      </c>
      <c r="H13" s="549"/>
      <c r="I13" s="549"/>
      <c r="J13" s="549"/>
      <c r="K13" s="549"/>
      <c r="L13" s="549"/>
      <c r="M13" s="549"/>
      <c r="N13" s="549"/>
      <c r="O13" s="549"/>
      <c r="P13" s="749" t="s">
        <v>577</v>
      </c>
      <c r="Q13" s="547"/>
      <c r="AL13" s="1635">
        <v>0</v>
      </c>
    </row>
    <row customHeight="1" ht="11.25" hidden="1">
      <c r="J14" s="1639"/>
      <c r="K14" s="1639"/>
      <c r="L14" s="1639"/>
      <c r="M14" s="1639"/>
      <c r="N14" s="1639"/>
      <c r="O14" s="1639"/>
      <c r="AL14" s="1635">
        <v>0</v>
      </c>
    </row>
    <row customHeight="1" ht="22.5" hidden="1">
      <c r="D15" s="1642"/>
      <c r="E15" s="550"/>
      <c r="F15" s="544"/>
      <c r="G15" s="1650" t="s">
        <v>578</v>
      </c>
      <c r="H15" s="549"/>
      <c r="I15" s="549"/>
      <c r="J15" s="549"/>
      <c r="K15" s="549"/>
      <c r="L15" s="549"/>
      <c r="M15" s="549"/>
      <c r="N15" s="549"/>
      <c r="O15" s="549"/>
      <c r="P15" s="293" t="s">
        <v>579</v>
      </c>
      <c r="Q15" s="547"/>
      <c r="AL15" s="1635">
        <v>0</v>
      </c>
    </row>
    <row customHeight="1" ht="11.25" hidden="1">
      <c r="J16" s="1639"/>
      <c r="K16" s="1639"/>
      <c r="L16" s="1639"/>
      <c r="M16" s="1639"/>
      <c r="N16" s="1639"/>
      <c r="O16" s="1639"/>
      <c r="AL16" s="1635">
        <v>0</v>
      </c>
    </row>
    <row customHeight="1" ht="22.5" hidden="1">
      <c r="D17" s="1642"/>
      <c r="E17" s="550"/>
      <c r="F17" s="544"/>
      <c r="G17" s="1650" t="s">
        <v>580</v>
      </c>
      <c r="H17" s="549"/>
      <c r="I17" s="549"/>
      <c r="J17" s="549"/>
      <c r="K17" s="549"/>
      <c r="L17" s="549"/>
      <c r="M17" s="549"/>
      <c r="N17" s="549"/>
      <c r="O17" s="549"/>
      <c r="P17" s="293" t="s">
        <v>581</v>
      </c>
      <c r="Q17" s="547"/>
      <c r="AL17" s="1635">
        <v>0</v>
      </c>
    </row>
    <row customHeight="1" ht="11.25" hidden="1">
      <c r="J18" s="1639"/>
      <c r="K18" s="1639"/>
      <c r="L18" s="1639"/>
      <c r="M18" s="1639"/>
      <c r="N18" s="1639"/>
      <c r="O18" s="1639"/>
      <c r="AL18" s="1635">
        <v>0</v>
      </c>
    </row>
    <row s="1636" customFormat="1" customHeight="1" ht="11.25" hidden="1">
      <c r="A19" s="991"/>
      <c r="B19" s="1164"/>
      <c r="C19" s="1640"/>
      <c r="D19" s="366"/>
      <c r="J19" s="1636"/>
      <c r="K19" s="1636"/>
      <c r="L19" s="1636"/>
      <c r="M19" s="1636"/>
      <c r="N19" s="1636"/>
      <c r="O19" s="1636"/>
      <c r="P19" s="1636">
        <v>4</v>
      </c>
      <c r="Q19" s="1164"/>
      <c r="R19" s="1640"/>
      <c r="S19" s="1640"/>
      <c r="T19" s="1164"/>
      <c r="U19" s="1164"/>
      <c r="V19" s="1164"/>
      <c r="W19" s="1164"/>
      <c r="X19" s="1640"/>
      <c r="Y19" s="1164"/>
      <c r="Z19" s="1164"/>
      <c r="AA19" s="548"/>
      <c r="AB19" s="1164"/>
      <c r="AC19" s="1164"/>
      <c r="AD19" s="1164"/>
      <c r="AE19" s="1164"/>
      <c r="AF19" s="1164"/>
      <c r="AL19" s="1636">
        <v>0</v>
      </c>
    </row>
    <row customHeight="1" ht="11.549999999999999">
      <c r="J20" s="1639"/>
      <c r="K20" s="1639"/>
      <c r="L20" s="1639"/>
      <c r="M20" s="1639"/>
      <c r="N20" s="1639"/>
      <c r="O20" s="1639"/>
      <c r="AL20" s="1635">
        <v>11</v>
      </c>
    </row>
    <row customHeight="1" ht="25.2">
      <c r="E21" s="225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2"/>
      <c r="G21" s="2252"/>
      <c r="H21" s="2252"/>
      <c r="I21" s="2252"/>
      <c r="J21" s="2252"/>
      <c r="K21" s="2252"/>
      <c r="L21" s="2252"/>
      <c r="M21" s="2252"/>
      <c r="N21" s="2252"/>
      <c r="O21" s="2252"/>
      <c r="P21" s="560"/>
      <c r="AL21" s="1635">
        <v>24</v>
      </c>
    </row>
    <row customHeight="1" ht="25.2">
      <c r="E22" s="2253" t="str">
        <f>IF(org=0,"Не определено",org)</f>
        <v>АО "Теплоэнерго"</v>
      </c>
      <c r="F22" s="2253"/>
      <c r="G22" s="2253"/>
      <c r="H22" s="2253"/>
      <c r="I22" s="2253"/>
      <c r="J22" s="2253"/>
      <c r="K22" s="2253"/>
      <c r="L22" s="2253"/>
      <c r="M22" s="2253"/>
      <c r="N22" s="2253"/>
      <c r="O22" s="2253"/>
      <c r="AL22" s="1635">
        <v>24</v>
      </c>
    </row>
    <row customHeight="1" ht="11.549999999999999">
      <c r="E23" s="1139"/>
      <c r="F23" s="1139"/>
      <c r="G23" s="1139"/>
      <c r="H23" s="1139"/>
      <c r="I23" s="1139"/>
      <c r="J23" s="1140" t="s">
        <v>22</v>
      </c>
      <c r="K23" s="1140" t="s">
        <v>22</v>
      </c>
      <c r="L23" s="1140" t="s">
        <v>22</v>
      </c>
      <c r="M23" s="1140" t="s">
        <v>22</v>
      </c>
      <c r="N23" s="1140" t="s">
        <v>22</v>
      </c>
      <c r="O23" s="1140" t="s">
        <v>22</v>
      </c>
      <c r="AL23" s="1635">
        <v>11</v>
      </c>
    </row>
    <row s="1646" customFormat="1" customHeight="1" ht="1.05">
      <c r="A24" s="1171"/>
      <c r="D24" s="1646"/>
      <c r="H24" s="893"/>
      <c r="I24" s="893" t="s">
        <v>126</v>
      </c>
      <c r="J24" s="893" t="s">
        <v>130</v>
      </c>
      <c r="K24" s="893" t="s">
        <v>132</v>
      </c>
      <c r="L24" s="893" t="s">
        <v>134</v>
      </c>
      <c r="M24" s="893" t="s">
        <v>137</v>
      </c>
      <c r="N24" s="893" t="s">
        <v>136</v>
      </c>
      <c r="O24" s="893" t="s">
        <v>139</v>
      </c>
      <c r="AL24" s="1640">
        <v>1</v>
      </c>
    </row>
    <row customHeight="1" ht="39">
      <c r="E25" s="715"/>
      <c r="F25" s="2371" t="s">
        <v>115</v>
      </c>
      <c r="G25" s="2372"/>
      <c r="H25" s="1656" t="str">
        <f>IF(H24="","",INDEX(DIFFERENTIATION_UNMERGE_VD,MATCH(H24,DIFFERENTIATION_ID_DIFF,0)))</f>
        <v/>
      </c>
      <c r="I25" s="1656"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397" t="str">
        <f>IF(J24="","",INDEX(DIFFERENTIATION_UNMERGE_VD,MATCH(J24,DIFFERENTIATION_ID_DIFF,0)))</f>
        <v>Производство тепловой энергии. Некомбинированная выработка; Передача. Тепловая энергия; Сбыт. Тепловая энергия</v>
      </c>
      <c r="K25" s="2397" t="str">
        <f>IF(K24="","",INDEX(DIFFERENTIATION_UNMERGE_VD,MATCH(K24,DIFFERENTIATION_ID_DIFF,0)))</f>
        <v>Производство тепловой энергии. Некомбинированная выработка; Передача. Тепловая энергия</v>
      </c>
      <c r="L25" s="2397" t="str">
        <f>IF(L24="","",INDEX(DIFFERENTIATION_UNMERGE_VD,MATCH(L24,DIFFERENTIATION_ID_DIFF,0)))</f>
        <v>Производство. Теплоноситель</v>
      </c>
      <c r="M25" s="2397" t="str">
        <f>IF(M24="","",INDEX(DIFFERENTIATION_UNMERGE_VD,MATCH(M24,DIFFERENTIATION_ID_DIFF,0)))</f>
        <v>Подключение (технологическое присоединение) к системе теплоснабжения</v>
      </c>
      <c r="N25" s="2397" t="str">
        <f>IF(N24="","",INDEX(DIFFERENTIATION_UNMERGE_VD,MATCH(N24,DIFFERENTIATION_ID_DIFF,0)))</f>
        <v>Производство. Теплоноситель</v>
      </c>
      <c r="O25" s="2397" t="str">
        <f>IF(O24="","",INDEX(DIFFERENTIATION_UNMERGE_VD,MATCH(O24,DIFFERENTIATION_ID_DIFF,0)))</f>
        <v>Поддержание резервной тепловой мощности при отсутствии потребления тепловой энергии</v>
      </c>
      <c r="P25" s="2131"/>
      <c r="AL25" s="1635">
        <v>11</v>
      </c>
    </row>
    <row customHeight="1" ht="11.549999999999999">
      <c r="E26" s="715"/>
      <c r="F26" s="2371" t="s">
        <v>582</v>
      </c>
      <c r="G26" s="2372"/>
      <c r="H26" s="1656" t="str">
        <f>IF(H24="","",INDEX(DIFFERENTIATION_UNMERGE_AREA,MATCH(H24,DIFFERENTIATION_ID_DIFF,0)))</f>
        <v/>
      </c>
      <c r="I26" s="1656" t="str">
        <f>IF(I24="","",INDEX(DIFFERENTIATION_UNMERGE_AREA,MATCH(I24,DIFFERENTIATION_ID_DIFF,0)))</f>
        <v>Территория 1</v>
      </c>
      <c r="J26" s="2397" t="str">
        <f>IF(J24="","",INDEX(DIFFERENTIATION_UNMERGE_AREA,MATCH(J24,DIFFERENTIATION_ID_DIFF,0)))</f>
        <v>Территория 3</v>
      </c>
      <c r="K26" s="2397" t="str">
        <f>IF(K24="","",INDEX(DIFFERENTIATION_UNMERGE_AREA,MATCH(K24,DIFFERENTIATION_ID_DIFF,0)))</f>
        <v>Территория 2</v>
      </c>
      <c r="L26" s="2397" t="str">
        <f>IF(L24="","",INDEX(DIFFERENTIATION_UNMERGE_AREA,MATCH(L24,DIFFERENTIATION_ID_DIFF,0)))</f>
        <v>Территория 1</v>
      </c>
      <c r="M26" s="2397" t="str">
        <f>IF(M24="","",INDEX(DIFFERENTIATION_UNMERGE_AREA,MATCH(M24,DIFFERENTIATION_ID_DIFF,0)))</f>
        <v>Территория 1</v>
      </c>
      <c r="N26" s="2397" t="str">
        <f>IF(N24="","",INDEX(DIFFERENTIATION_UNMERGE_AREA,MATCH(N24,DIFFERENTIATION_ID_DIFF,0)))</f>
        <v>Территория 2</v>
      </c>
      <c r="O26" s="2397" t="str">
        <f>IF(O24="","",INDEX(DIFFERENTIATION_UNMERGE_AREA,MATCH(O24,DIFFERENTIATION_ID_DIFF,0)))</f>
        <v>Территория 1</v>
      </c>
      <c r="P26" s="2131"/>
      <c r="AL26" s="1635">
        <v>11</v>
      </c>
    </row>
    <row customHeight="1" ht="11.549999999999999">
      <c r="E27" s="715"/>
      <c r="F27" s="2371" t="s">
        <v>583</v>
      </c>
      <c r="G27" s="2372"/>
      <c r="H27" s="1656" t="str">
        <f>IF(H24="","",INDEX(DIFFERENTIATION_UNMERGE_SYSTEM,MATCH(H24,DIFFERENTIATION_ID_DIFF,0)))</f>
        <v/>
      </c>
      <c r="I27" s="1656" t="str">
        <f>IF(I24="","",INDEX(DIFFERENTIATION_UNMERGE_SYSTEM,MATCH(I24,DIFFERENTIATION_ID_DIFF,0)))</f>
        <v>без дифференциации</v>
      </c>
      <c r="J27" s="2397" t="str">
        <f>IF(J24="","",INDEX(DIFFERENTIATION_UNMERGE_SYSTEM,MATCH(J24,DIFFERENTIATION_ID_DIFF,0)))</f>
        <v>без дифференциации</v>
      </c>
      <c r="K27" s="2397" t="str">
        <f>IF(K24="","",INDEX(DIFFERENTIATION_UNMERGE_SYSTEM,MATCH(K24,DIFFERENTIATION_ID_DIFF,0)))</f>
        <v>без дифференциации</v>
      </c>
      <c r="L27" s="2397" t="str">
        <f>IF(L24="","",INDEX(DIFFERENTIATION_UNMERGE_SYSTEM,MATCH(L24,DIFFERENTIATION_ID_DIFF,0)))</f>
        <v>без дифференциации</v>
      </c>
      <c r="M27" s="2397" t="str">
        <f>IF(M24="","",INDEX(DIFFERENTIATION_UNMERGE_SYSTEM,MATCH(M24,DIFFERENTIATION_ID_DIFF,0)))</f>
        <v>без дифференциации</v>
      </c>
      <c r="N27" s="2397" t="str">
        <f>IF(N24="","",INDEX(DIFFERENTIATION_UNMERGE_SYSTEM,MATCH(N24,DIFFERENTIATION_ID_DIFF,0)))</f>
        <v>без дифференциации</v>
      </c>
      <c r="O27" s="2397" t="str">
        <f>IF(O24="","",INDEX(DIFFERENTIATION_UNMERGE_SYSTEM,MATCH(O24,DIFFERENTIATION_ID_DIFF,0)))</f>
        <v>без дифференциации</v>
      </c>
      <c r="P27" s="2131"/>
      <c r="AL27" s="1635">
        <v>11</v>
      </c>
    </row>
    <row customHeight="1" ht="11.549999999999999">
      <c r="E28" s="2373" t="s">
        <v>318</v>
      </c>
      <c r="F28" s="2374"/>
      <c r="G28" s="2374"/>
      <c r="H28" s="1649"/>
      <c r="I28" s="1649"/>
      <c r="J28" s="2371"/>
      <c r="K28" s="2371"/>
      <c r="L28" s="2371"/>
      <c r="M28" s="2371"/>
      <c r="N28" s="2371"/>
      <c r="O28" s="2371"/>
      <c r="P28" s="2131"/>
      <c r="AL28" s="1635">
        <v>11</v>
      </c>
    </row>
    <row customHeight="1" ht="24">
      <c r="E29" s="1650" t="s">
        <v>88</v>
      </c>
      <c r="F29" s="1657" t="s">
        <v>320</v>
      </c>
      <c r="G29" s="1657" t="s">
        <v>584</v>
      </c>
      <c r="H29" s="1657" t="s">
        <v>321</v>
      </c>
      <c r="I29" s="1657" t="s">
        <v>321</v>
      </c>
      <c r="J29" s="2370" t="s">
        <v>321</v>
      </c>
      <c r="K29" s="2370" t="s">
        <v>321</v>
      </c>
      <c r="L29" s="2370" t="s">
        <v>321</v>
      </c>
      <c r="M29" s="2370" t="s">
        <v>321</v>
      </c>
      <c r="N29" s="2370" t="s">
        <v>321</v>
      </c>
      <c r="O29" s="2370" t="s">
        <v>321</v>
      </c>
      <c r="P29" s="2131"/>
      <c r="AL29" s="1635">
        <v>23</v>
      </c>
    </row>
    <row customHeight="1" ht="25.5">
      <c r="D30" s="1642"/>
      <c r="E30" s="550">
        <f>FHD_NUM_P_1</f>
        <v>1</v>
      </c>
      <c r="F30" s="1884" t="str">
        <f>FHD_P_1</f>
        <v>Выручка от регулируемого вида деятельности с распределением по видам деятельности</v>
      </c>
      <c r="G30" s="1882" t="s">
        <v>570</v>
      </c>
      <c r="H30" s="561"/>
      <c r="I30" s="561">
        <v>11148466.23417</v>
      </c>
      <c r="J30" s="561">
        <v>49800.59466</v>
      </c>
      <c r="K30" s="561">
        <v>63194.00223</v>
      </c>
      <c r="L30" s="561">
        <v>82.0587</v>
      </c>
      <c r="M30" s="561">
        <v>139813.05094</v>
      </c>
      <c r="N30" s="561">
        <v>3059.35059</v>
      </c>
      <c r="O30" s="561">
        <v>553.79208</v>
      </c>
      <c r="P30" s="293" t="str">
        <f>FHD_NOTE_P_1</f>
        <v>Указывается выручка от регулируемого вида деятельности с распределением по видам деятельности.</v>
      </c>
      <c r="Q30" s="547"/>
      <c r="AL30" s="1635">
        <v>19</v>
      </c>
    </row>
    <row customHeight="1" ht="33">
      <c r="D31" s="1642"/>
      <c r="E31" s="550">
        <f>FHD_NUM_P_2</f>
        <v>2</v>
      </c>
      <c r="F31" s="1884" t="str">
        <f>FHD_P_2</f>
        <v>Себестоимость производимых товаров (оказываемых услуг) по регулируемому виду деятельности, включая:</v>
      </c>
      <c r="G31" s="1882" t="s">
        <v>570</v>
      </c>
      <c r="H31" s="562">
        <f>SUMIF($Q32:$Q84,$Q31,H32:H84)</f>
        <v>0</v>
      </c>
      <c r="I31" s="562">
        <f>SUMIF($Q32:$Q84,$Q31,I32:I84)</f>
        <v>13049562.9702535</v>
      </c>
      <c r="J31" s="562">
        <f>SUMIF($Q32:$Q84,$Q31,J32:J84)</f>
        <v>80191.05919</v>
      </c>
      <c r="K31" s="562">
        <f>SUMIF($Q32:$Q84,$Q31,K32:K84)</f>
        <v>56766.05295</v>
      </c>
      <c r="L31" s="562">
        <f>SUMIF($Q32:$Q84,$Q31,L32:L84)</f>
        <v>82.0587</v>
      </c>
      <c r="M31" s="562">
        <f>SUMIF($Q32:$Q84,$Q31,M32:M84)</f>
        <v>29304.71701</v>
      </c>
      <c r="N31" s="562">
        <f>SUMIF($Q32:$Q84,$Q31,N32:N84)</f>
        <v>3880.93984</v>
      </c>
      <c r="O31" s="562">
        <f>SUMIF($Q32:$Q84,$Q31,O32:O84)</f>
        <v>668.29433</v>
      </c>
      <c r="P31" s="293" t="str">
        <f>FHD_NOTE_P_2</f>
        <v>Указывается суммарная себестоимость производимых товаров.</v>
      </c>
      <c r="Q31" s="1640" t="s">
        <v>585</v>
      </c>
      <c r="AL31" s="1635">
        <v>11</v>
      </c>
    </row>
    <row customHeight="1" ht="24">
      <c r="D32" s="1642"/>
      <c r="E32" s="550" t="str">
        <f>FHD_NUM_P_3</f>
        <v>2.1</v>
      </c>
      <c r="F32" s="1528" t="str">
        <f>FHD_P_3</f>
        <v>Расходы на приобретаемую тепловую энергию (мощность), теплоноситель</v>
      </c>
      <c r="G32" s="1882" t="s">
        <v>570</v>
      </c>
      <c r="H32" s="561"/>
      <c r="I32" s="561">
        <v>1832731.66437</v>
      </c>
      <c r="J32" s="561">
        <v>0</v>
      </c>
      <c r="K32" s="561">
        <v>0</v>
      </c>
      <c r="L32" s="561">
        <v>0</v>
      </c>
      <c r="M32" s="561">
        <v>0</v>
      </c>
      <c r="N32" s="561">
        <v>0</v>
      </c>
      <c r="O32" s="561">
        <v>126.49202</v>
      </c>
      <c r="P32" s="293" t="str">
        <f>FHD_NOTE_P_3</f>
        <v/>
      </c>
      <c r="Q32" s="1640" t="str">
        <f>IF((LEN(E32)-LEN(SUBSTITUTE(E32,".","")))/LEN(".")=1,"p","")</f>
        <v>p</v>
      </c>
      <c r="AL32" s="1635">
        <v>11</v>
      </c>
    </row>
    <row customHeight="1" ht="31.5">
      <c r="A33" s="2375" t="s">
        <v>586</v>
      </c>
      <c r="D33" s="1642"/>
      <c r="E33" s="550" t="str">
        <f>FHD_NUM_P_4</f>
        <v>2.2</v>
      </c>
      <c r="F33" s="152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2" t="s">
        <v>570</v>
      </c>
      <c r="H33" s="562">
        <f>SUMIF($F34:$F46,$F3,H34:H46)</f>
        <v>0</v>
      </c>
      <c r="I33" s="562">
        <f>SUMIF($F34:$F46,$F3,I34:I46)</f>
        <v>2500926.29074351</v>
      </c>
      <c r="J33" s="562">
        <f>SUMIF($F34:$F46,$F3,J34:J46)</f>
        <v>25433.37478</v>
      </c>
      <c r="K33" s="562">
        <f>SUMIF($F34:$F46,$F3,K34:K46)</f>
        <v>23831.85281</v>
      </c>
      <c r="L33" s="562">
        <f>SUMIF($F34:$F46,$F3,L34:L46)</f>
        <v>15.28205</v>
      </c>
      <c r="M33" s="562">
        <f>SUMIF($F34:$F46,$F3,M34:M46)</f>
        <v>0</v>
      </c>
      <c r="N33" s="562">
        <f>SUMIF($F34:$F46,$F3,N34:N46)</f>
        <v>3050.38418</v>
      </c>
      <c r="O33" s="562">
        <f>SUMIF($F34:$F46,$F3,O34:O46)</f>
        <v>0</v>
      </c>
      <c r="P33" s="293" t="str">
        <f>FHD_NOTE_P_4</f>
        <v>Указываются суммарные расходы на приобретение топлива всех видов.</v>
      </c>
      <c r="Q33" s="1640" t="str">
        <f>IF((LEN(E33)-LEN(SUBSTITUTE(E33,".","")))/LEN(".")=1,"p","")</f>
        <v>p</v>
      </c>
      <c r="AL33" s="1635">
        <v>0</v>
      </c>
    </row>
    <row s="1645" customFormat="1" customHeight="1" ht="10.5">
      <c r="A34" s="2375"/>
      <c r="B34" s="2376" t="str">
        <f>E33&amp;".0"</f>
        <v>2.2.0</v>
      </c>
      <c r="C34" s="1171"/>
      <c r="D34" s="564"/>
      <c r="E34" s="565"/>
      <c r="F34" s="566"/>
      <c r="G34" s="567"/>
      <c r="H34" s="501"/>
      <c r="I34" s="501"/>
      <c r="J34" s="501"/>
      <c r="K34" s="501"/>
      <c r="L34" s="501"/>
      <c r="M34" s="501"/>
      <c r="N34" s="501"/>
      <c r="O34" s="501"/>
      <c r="P34" s="568"/>
      <c r="Q34" s="1640" t="str">
        <f>IF((LEN(E34)-LEN(SUBSTITUTE(E34,".","")))/LEN(".")=1,"p","")</f>
        <v/>
      </c>
      <c r="R34" s="1640"/>
      <c r="S34" s="1640"/>
      <c r="T34" s="1640"/>
      <c r="U34" s="1640"/>
      <c r="V34" s="1640"/>
      <c r="W34" s="1640"/>
      <c r="X34" s="1640"/>
      <c r="Y34" s="1640"/>
      <c r="Z34" s="1640"/>
      <c r="AA34" s="569"/>
      <c r="AB34" s="1640"/>
      <c r="AC34" s="1640"/>
      <c r="AD34" s="1640"/>
      <c r="AE34" s="1640"/>
      <c r="AF34" s="1640"/>
      <c r="AG34" s="570"/>
      <c r="AH34" s="570"/>
      <c r="AI34" s="570"/>
      <c r="AJ34" s="570"/>
      <c r="AK34" s="570"/>
      <c r="AL34" s="1645">
        <v>0</v>
      </c>
    </row>
    <row s="1645" customFormat="1" customHeight="1" ht="0">
      <c r="A35" s="2375"/>
      <c r="B35" s="2376"/>
      <c r="C35" s="1171"/>
      <c r="D35" s="564"/>
      <c r="E35" s="571"/>
      <c r="F35" s="572"/>
      <c r="G35" s="567"/>
      <c r="H35" s="573"/>
      <c r="I35" s="573"/>
      <c r="J35" s="573"/>
      <c r="K35" s="573"/>
      <c r="L35" s="573"/>
      <c r="M35" s="573"/>
      <c r="N35" s="573"/>
      <c r="O35" s="573"/>
      <c r="P35" s="568"/>
      <c r="Q35" s="1640" t="str">
        <f>IF((LEN(E35)-LEN(SUBSTITUTE(E35,".","")))/LEN(".")=1,"p","")</f>
        <v/>
      </c>
      <c r="R35" s="1640"/>
      <c r="S35" s="1640"/>
      <c r="T35" s="1640"/>
      <c r="U35" s="1640"/>
      <c r="V35" s="1640"/>
      <c r="W35" s="1640"/>
      <c r="X35" s="1640"/>
      <c r="Y35" s="1640"/>
      <c r="Z35" s="1640"/>
      <c r="AA35" s="569"/>
      <c r="AB35" s="1640"/>
      <c r="AC35" s="1640"/>
      <c r="AD35" s="1640"/>
      <c r="AE35" s="1640"/>
      <c r="AF35" s="1640"/>
      <c r="AG35" s="570"/>
      <c r="AH35" s="570"/>
      <c r="AI35" s="570"/>
      <c r="AJ35" s="570"/>
      <c r="AK35" s="570"/>
      <c r="AL35" s="1645">
        <v>0</v>
      </c>
    </row>
    <row s="1645" customFormat="1" customHeight="1" ht="0.75">
      <c r="A36" s="2375"/>
      <c r="B36" s="2376"/>
      <c r="C36" s="1171"/>
      <c r="D36" s="564"/>
      <c r="E36" s="571"/>
      <c r="F36" s="572"/>
      <c r="G36" s="567"/>
      <c r="H36" s="573"/>
      <c r="I36" s="573"/>
      <c r="J36" s="573"/>
      <c r="K36" s="573"/>
      <c r="L36" s="573"/>
      <c r="M36" s="573"/>
      <c r="N36" s="573"/>
      <c r="O36" s="573"/>
      <c r="P36" s="568"/>
      <c r="Q36" s="1640" t="str">
        <f>IF((LEN(E36)-LEN(SUBSTITUTE(E36,".","")))/LEN(".")=1,"p","")</f>
        <v/>
      </c>
      <c r="R36" s="1640"/>
      <c r="S36" s="1640"/>
      <c r="T36" s="1640"/>
      <c r="U36" s="1640"/>
      <c r="V36" s="1640"/>
      <c r="W36" s="1640"/>
      <c r="X36" s="1640"/>
      <c r="Y36" s="1640"/>
      <c r="Z36" s="1640"/>
      <c r="AA36" s="569"/>
      <c r="AB36" s="1640"/>
      <c r="AC36" s="1640"/>
      <c r="AD36" s="1640"/>
      <c r="AE36" s="1640"/>
      <c r="AF36" s="1640"/>
      <c r="AG36" s="570"/>
      <c r="AH36" s="570"/>
      <c r="AI36" s="570"/>
      <c r="AJ36" s="570"/>
      <c r="AK36" s="570"/>
      <c r="AL36" s="1645">
        <v>0</v>
      </c>
    </row>
    <row s="1645" customFormat="1" customHeight="1" ht="0.75">
      <c r="A37" s="2375"/>
      <c r="B37" s="2376"/>
      <c r="C37" s="1171"/>
      <c r="D37" s="564"/>
      <c r="E37" s="571"/>
      <c r="F37" s="572"/>
      <c r="G37" s="567"/>
      <c r="H37" s="573"/>
      <c r="I37" s="573"/>
      <c r="J37" s="573"/>
      <c r="K37" s="573"/>
      <c r="L37" s="573"/>
      <c r="M37" s="573"/>
      <c r="N37" s="573"/>
      <c r="O37" s="573"/>
      <c r="P37" s="568"/>
      <c r="Q37" s="1640" t="str">
        <f>IF((LEN(E37)-LEN(SUBSTITUTE(E37,".","")))/LEN(".")=1,"p","")</f>
        <v/>
      </c>
      <c r="R37" s="1640"/>
      <c r="S37" s="1640"/>
      <c r="T37" s="1640"/>
      <c r="U37" s="1640"/>
      <c r="V37" s="1640"/>
      <c r="W37" s="1640"/>
      <c r="X37" s="1640"/>
      <c r="Y37" s="1640"/>
      <c r="Z37" s="1640"/>
      <c r="AA37" s="569"/>
      <c r="AB37" s="1640"/>
      <c r="AC37" s="1640"/>
      <c r="AD37" s="1640"/>
      <c r="AE37" s="1640"/>
      <c r="AF37" s="1640"/>
      <c r="AG37" s="570"/>
      <c r="AH37" s="570"/>
      <c r="AI37" s="570"/>
      <c r="AJ37" s="570"/>
      <c r="AK37" s="570"/>
      <c r="AL37" s="1645">
        <v>0</v>
      </c>
    </row>
    <row s="1645" customFormat="1" customHeight="1" ht="0.75">
      <c r="A38" s="2375"/>
      <c r="B38" s="2376"/>
      <c r="C38" s="1171"/>
      <c r="D38" s="564"/>
      <c r="E38" s="571"/>
      <c r="F38" s="572"/>
      <c r="G38" s="567"/>
      <c r="H38" s="573"/>
      <c r="I38" s="573"/>
      <c r="J38" s="573"/>
      <c r="K38" s="573"/>
      <c r="L38" s="573"/>
      <c r="M38" s="573"/>
      <c r="N38" s="573"/>
      <c r="O38" s="573"/>
      <c r="P38" s="568"/>
      <c r="Q38" s="1640" t="str">
        <f>IF((LEN(E38)-LEN(SUBSTITUTE(E38,".","")))/LEN(".")=1,"p","")</f>
        <v/>
      </c>
      <c r="R38" s="1640"/>
      <c r="S38" s="1640"/>
      <c r="T38" s="1640"/>
      <c r="U38" s="1640"/>
      <c r="V38" s="1640"/>
      <c r="W38" s="1640"/>
      <c r="X38" s="1640"/>
      <c r="Y38" s="1640"/>
      <c r="Z38" s="1640"/>
      <c r="AA38" s="569"/>
      <c r="AB38" s="1640"/>
      <c r="AC38" s="1640"/>
      <c r="AD38" s="1640"/>
      <c r="AE38" s="1640"/>
      <c r="AF38" s="1640"/>
      <c r="AG38" s="570"/>
      <c r="AH38" s="570"/>
      <c r="AI38" s="570"/>
      <c r="AJ38" s="570"/>
      <c r="AK38" s="570"/>
      <c r="AL38" s="1645">
        <v>0</v>
      </c>
    </row>
    <row s="1645" customFormat="1" customHeight="1" ht="0.75">
      <c r="A39" s="2375"/>
      <c r="B39" s="2376"/>
      <c r="C39" s="1171"/>
      <c r="D39" s="564"/>
      <c r="E39" s="571"/>
      <c r="F39" s="572"/>
      <c r="G39" s="567"/>
      <c r="H39" s="501"/>
      <c r="I39" s="501"/>
      <c r="J39" s="501"/>
      <c r="K39" s="501"/>
      <c r="L39" s="501"/>
      <c r="M39" s="501"/>
      <c r="N39" s="501"/>
      <c r="O39" s="501"/>
      <c r="P39" s="568"/>
      <c r="Q39" s="1640" t="str">
        <f>IF((LEN(E39)-LEN(SUBSTITUTE(E39,".","")))/LEN(".")=1,"p","")</f>
        <v/>
      </c>
      <c r="R39" s="1640"/>
      <c r="S39" s="1640"/>
      <c r="T39" s="1640"/>
      <c r="U39" s="1640"/>
      <c r="V39" s="1640"/>
      <c r="W39" s="1640"/>
      <c r="X39" s="1640"/>
      <c r="Y39" s="1640"/>
      <c r="Z39" s="1640"/>
      <c r="AA39" s="569"/>
      <c r="AB39" s="1640"/>
      <c r="AC39" s="1640"/>
      <c r="AD39" s="1640"/>
      <c r="AE39" s="1640"/>
      <c r="AF39" s="1640"/>
      <c r="AG39" s="570"/>
      <c r="AH39" s="570"/>
      <c r="AI39" s="570"/>
      <c r="AJ39" s="570"/>
      <c r="AK39" s="570"/>
      <c r="AL39" s="1645">
        <v>0</v>
      </c>
    </row>
    <row s="1854" customFormat="1" customHeight="1" ht="23.25">
      <c r="A40" s="991"/>
      <c r="B40" s="2129" t="str">
        <f>E33&amp;".1"</f>
        <v>2.2.1</v>
      </c>
      <c r="C40" s="1328" t="s">
        <v>563</v>
      </c>
      <c r="D40" s="687" t="s">
        <v>104</v>
      </c>
      <c r="E40" s="550" t="str">
        <f>B40</f>
        <v>2.2.1</v>
      </c>
      <c r="F40" s="551" t="s">
        <v>587</v>
      </c>
      <c r="G40" s="2370" t="s">
        <v>564</v>
      </c>
      <c r="H40" s="2370" t="s">
        <v>564</v>
      </c>
      <c r="I40" s="2370" t="s">
        <v>564</v>
      </c>
      <c r="J40" s="2370" t="s">
        <v>564</v>
      </c>
      <c r="K40" s="2370" t="s">
        <v>564</v>
      </c>
      <c r="L40" s="2370" t="s">
        <v>564</v>
      </c>
      <c r="M40" s="2370" t="s">
        <v>564</v>
      </c>
      <c r="N40" s="2370" t="s">
        <v>564</v>
      </c>
      <c r="O40" s="2370" t="s">
        <v>564</v>
      </c>
      <c r="P40" s="1529" t="s">
        <v>565</v>
      </c>
      <c r="Q40" s="738"/>
      <c r="R40" s="1646"/>
      <c r="S40" s="1646"/>
      <c r="T40" s="1370"/>
      <c r="U40" s="1370"/>
      <c r="V40" s="1370"/>
      <c r="W40" s="1370"/>
      <c r="X40" s="1646"/>
      <c r="Y40" s="1370"/>
      <c r="Z40" s="1370"/>
      <c r="AA40" s="740"/>
      <c r="AB40" s="1370"/>
      <c r="AC40" s="1370"/>
      <c r="AD40" s="1370"/>
      <c r="AE40" s="1370"/>
      <c r="AF40" s="1370"/>
      <c r="AG40" s="1636"/>
      <c r="AH40" s="1636"/>
      <c r="AI40" s="1636"/>
      <c r="AJ40" s="1636"/>
      <c r="AK40" s="1636"/>
      <c r="AL40" s="1639">
        <v>0</v>
      </c>
    </row>
    <row s="626" customFormat="1" customHeight="1" ht="0.75" hidden="1">
      <c r="A41" s="1646"/>
      <c r="B41" s="2129" t="str">
        <f>E33&amp;".0"</f>
        <v>2.2.0</v>
      </c>
      <c r="C41" s="1328"/>
      <c r="D41" s="1328"/>
      <c r="E41" s="553"/>
      <c r="F41" s="554" t="s">
        <v>566</v>
      </c>
      <c r="G41" s="1377"/>
      <c r="H41" s="1377">
        <f>H42*H43+H44</f>
        <v>0</v>
      </c>
      <c r="I41" s="1377">
        <f>I42*I43+I44</f>
        <v>2500926.29074351</v>
      </c>
      <c r="J41" s="1377">
        <f>J42*J43+J44</f>
        <v>25433.37478</v>
      </c>
      <c r="K41" s="1377">
        <f>K42*K43+K44</f>
        <v>23831.85281</v>
      </c>
      <c r="L41" s="1377">
        <f>L42*L43+L44</f>
        <v>15.28205</v>
      </c>
      <c r="M41" s="1377">
        <f>M42*M43+M44</f>
        <v>0</v>
      </c>
      <c r="N41" s="1377">
        <f>N42*N43+N44</f>
        <v>3050.38418</v>
      </c>
      <c r="O41" s="1377">
        <f>O42*O43+O44</f>
        <v>0</v>
      </c>
      <c r="P41" s="1380"/>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v>0</v>
      </c>
    </row>
    <row s="1854" customFormat="1" customHeight="1" ht="23.25">
      <c r="A42" s="991"/>
      <c r="B42" s="2129" t="str">
        <f>E33&amp;".0"</f>
        <v>2.2.0</v>
      </c>
      <c r="C42" s="1328"/>
      <c r="D42" s="2142"/>
      <c r="E42" s="550" t="str">
        <f>B40&amp;".1"</f>
        <v>2.2.1.1</v>
      </c>
      <c r="F42" s="557" t="s">
        <v>567</v>
      </c>
      <c r="G42" s="558" t="s">
        <v>588</v>
      </c>
      <c r="H42" s="755"/>
      <c r="I42" s="755">
        <v>386357.095</v>
      </c>
      <c r="J42" s="755">
        <f>25433.37478/J43</f>
        <v>3823.26255248209</v>
      </c>
      <c r="K42" s="755">
        <f>23831.85281/K43</f>
        <v>3572.74158830655</v>
      </c>
      <c r="L42" s="755">
        <f>15.28205/L43</f>
        <v>2.29726845122041</v>
      </c>
      <c r="M42" s="755"/>
      <c r="N42" s="755">
        <f>3050.38418/N43</f>
        <v>457.296984295967</v>
      </c>
      <c r="O42" s="755"/>
      <c r="P42" s="1529" t="s">
        <v>568</v>
      </c>
      <c r="Q42" s="738"/>
      <c r="R42" s="1646"/>
      <c r="S42" s="1646"/>
      <c r="T42" s="1370"/>
      <c r="U42" s="1370"/>
      <c r="V42" s="1370"/>
      <c r="W42" s="1370"/>
      <c r="X42" s="1646"/>
      <c r="Y42" s="1370"/>
      <c r="Z42" s="1370"/>
      <c r="AA42" s="740"/>
      <c r="AB42" s="1370"/>
      <c r="AC42" s="1370"/>
      <c r="AD42" s="1370"/>
      <c r="AE42" s="1370"/>
      <c r="AF42" s="1370"/>
      <c r="AG42" s="1636"/>
      <c r="AH42" s="1636"/>
      <c r="AI42" s="1636"/>
      <c r="AJ42" s="1636"/>
      <c r="AK42" s="1636"/>
      <c r="AL42" s="1639">
        <v>0</v>
      </c>
    </row>
    <row s="1854" customFormat="1" customHeight="1" ht="18.75">
      <c r="A43" s="991"/>
      <c r="B43" s="2129" t="str">
        <f>E33&amp;".0"</f>
        <v>2.2.0</v>
      </c>
      <c r="C43" s="1328"/>
      <c r="D43" s="2142"/>
      <c r="E43" s="550" t="str">
        <f>B40&amp;".2"</f>
        <v>2.2.1.2</v>
      </c>
      <c r="F43" s="557" t="s">
        <v>569</v>
      </c>
      <c r="G43" s="2370" t="s">
        <v>570</v>
      </c>
      <c r="H43" s="755"/>
      <c r="I43" s="755">
        <f>6473.095287/1000</f>
        <v>6.473095287</v>
      </c>
      <c r="J43" s="755">
        <f>6652.27/1000</f>
        <v>6.65227</v>
      </c>
      <c r="K43" s="755">
        <v>6.670466425</v>
      </c>
      <c r="L43" s="755">
        <v>6.65227</v>
      </c>
      <c r="M43" s="755"/>
      <c r="N43" s="755">
        <v>6.670466425</v>
      </c>
      <c r="O43" s="755"/>
      <c r="P43" s="1529"/>
      <c r="Q43" s="738"/>
      <c r="R43" s="1646"/>
      <c r="S43" s="1646"/>
      <c r="T43" s="1370"/>
      <c r="U43" s="1370"/>
      <c r="V43" s="1370"/>
      <c r="W43" s="1370"/>
      <c r="X43" s="1646"/>
      <c r="Y43" s="1370"/>
      <c r="Z43" s="1370"/>
      <c r="AA43" s="740"/>
      <c r="AB43" s="1370"/>
      <c r="AC43" s="1370"/>
      <c r="AD43" s="1370"/>
      <c r="AE43" s="1370"/>
      <c r="AF43" s="1370"/>
      <c r="AG43" s="1636"/>
      <c r="AH43" s="1636"/>
      <c r="AI43" s="1636"/>
      <c r="AJ43" s="1636"/>
      <c r="AK43" s="1636"/>
      <c r="AL43" s="1639">
        <v>0</v>
      </c>
    </row>
    <row s="1854" customFormat="1" customHeight="1" ht="18.75">
      <c r="A44" s="991"/>
      <c r="B44" s="2129" t="str">
        <f>E33&amp;".0"</f>
        <v>2.2.0</v>
      </c>
      <c r="C44" s="1328"/>
      <c r="D44" s="2142"/>
      <c r="E44" s="550" t="str">
        <f>B40&amp;".3"</f>
        <v>2.2.1.3</v>
      </c>
      <c r="F44" s="557" t="s">
        <v>571</v>
      </c>
      <c r="G44" s="2370" t="s">
        <v>570</v>
      </c>
      <c r="H44" s="755"/>
      <c r="I44" s="755"/>
      <c r="J44" s="755"/>
      <c r="K44" s="755"/>
      <c r="L44" s="755"/>
      <c r="M44" s="755"/>
      <c r="N44" s="755"/>
      <c r="O44" s="755"/>
      <c r="P44" s="1529"/>
      <c r="Q44" s="738"/>
      <c r="R44" s="1646"/>
      <c r="S44" s="1646"/>
      <c r="T44" s="1370"/>
      <c r="U44" s="1370"/>
      <c r="V44" s="1370"/>
      <c r="W44" s="1370"/>
      <c r="X44" s="1646"/>
      <c r="Y44" s="1370"/>
      <c r="Z44" s="1370"/>
      <c r="AA44" s="740"/>
      <c r="AB44" s="1370"/>
      <c r="AC44" s="1370"/>
      <c r="AD44" s="1370"/>
      <c r="AE44" s="1370"/>
      <c r="AF44" s="1370"/>
      <c r="AG44" s="1636"/>
      <c r="AH44" s="1636"/>
      <c r="AI44" s="1636"/>
      <c r="AJ44" s="1636"/>
      <c r="AK44" s="1636"/>
      <c r="AL44" s="1639">
        <v>0</v>
      </c>
    </row>
    <row s="1854" customFormat="1" customHeight="1" ht="18.75">
      <c r="A45" s="991"/>
      <c r="B45" s="2129" t="str">
        <f>E33&amp;".0"</f>
        <v>2.2.0</v>
      </c>
      <c r="C45" s="1328"/>
      <c r="D45" s="2142"/>
      <c r="E45" s="550" t="str">
        <f>B40&amp;".4"</f>
        <v>2.2.1.4</v>
      </c>
      <c r="F45" s="557" t="s">
        <v>572</v>
      </c>
      <c r="G45" s="2370" t="s">
        <v>564</v>
      </c>
      <c r="H45" s="559"/>
      <c r="I45" s="559"/>
      <c r="J45" s="559"/>
      <c r="K45" s="559"/>
      <c r="L45" s="559"/>
      <c r="M45" s="559"/>
      <c r="N45" s="559"/>
      <c r="O45" s="559"/>
      <c r="P45" s="1529"/>
      <c r="Q45" s="738"/>
      <c r="R45" s="1646"/>
      <c r="S45" s="1646"/>
      <c r="T45" s="1370"/>
      <c r="U45" s="1370"/>
      <c r="V45" s="1370"/>
      <c r="W45" s="1370"/>
      <c r="X45" s="1646"/>
      <c r="Y45" s="1370"/>
      <c r="Z45" s="1370"/>
      <c r="AA45" s="740"/>
      <c r="AB45" s="1370"/>
      <c r="AC45" s="1370"/>
      <c r="AD45" s="1370"/>
      <c r="AE45" s="1370"/>
      <c r="AF45" s="1370"/>
      <c r="AG45" s="1636"/>
      <c r="AH45" s="1636"/>
      <c r="AI45" s="1636"/>
      <c r="AJ45" s="1636"/>
      <c r="AK45" s="1636"/>
      <c r="AL45" s="1639">
        <v>0</v>
      </c>
    </row>
    <row s="1370" customFormat="1" customHeight="1" ht="15">
      <c r="A46" s="2375"/>
      <c r="C46" s="1640"/>
      <c r="D46" s="1637"/>
      <c r="E46" s="574"/>
      <c r="F46" s="575" t="s">
        <v>589</v>
      </c>
      <c r="G46" s="576"/>
      <c r="H46" s="577"/>
      <c r="I46" s="577"/>
      <c r="J46" s="2644"/>
      <c r="K46" s="2645"/>
      <c r="L46" s="2646"/>
      <c r="M46" s="2647"/>
      <c r="N46" s="2648"/>
      <c r="O46" s="2649"/>
      <c r="P46" s="305"/>
      <c r="Q46" s="1640" t="str">
        <f>IF((LEN(E46)-LEN(SUBSTITUTE(E46,".","")))/LEN(".")=1,"p","")</f>
        <v/>
      </c>
      <c r="R46" s="1640"/>
      <c r="S46" s="1640"/>
      <c r="X46" s="1640"/>
      <c r="AA46" s="548"/>
      <c r="AG46" s="1636"/>
      <c r="AH46" s="1636"/>
      <c r="AI46" s="1636"/>
      <c r="AJ46" s="1636"/>
      <c r="AK46" s="1636"/>
      <c r="AL46" s="1164">
        <v>0</v>
      </c>
    </row>
    <row customHeight="1" ht="11.25" hidden="1">
      <c r="A47" s="2375" t="s">
        <v>590</v>
      </c>
      <c r="D47" s="1642"/>
      <c r="E47" s="550" t="str">
        <f>FHD_NUM_P_5</f>
        <v/>
      </c>
      <c r="F47" s="1528" t="str">
        <f>FHD_P_5</f>
        <v/>
      </c>
      <c r="G47" s="1882" t="s">
        <v>570</v>
      </c>
      <c r="H47" s="561"/>
      <c r="I47" s="561"/>
      <c r="J47" s="561"/>
      <c r="K47" s="561"/>
      <c r="L47" s="561"/>
      <c r="M47" s="561"/>
      <c r="N47" s="561"/>
      <c r="O47" s="561"/>
      <c r="P47" s="293" t="str">
        <f>FHD_NOTE_P_5</f>
        <v/>
      </c>
      <c r="Q47" s="1640" t="str">
        <f>IF((LEN(E47)-LEN(SUBSTITUTE(E47,".","")))/LEN(".")=1,"p","")</f>
        <v/>
      </c>
      <c r="AL47" s="1635">
        <v>0</v>
      </c>
    </row>
    <row customHeight="1" ht="11.25" hidden="1">
      <c r="A48" s="2375"/>
      <c r="D48" s="1642"/>
      <c r="E48" s="550" t="str">
        <f>FHD_NUM_P_6</f>
        <v/>
      </c>
      <c r="F48" s="1528" t="str">
        <f>FHD_P_6</f>
        <v/>
      </c>
      <c r="G48" s="1882" t="s">
        <v>570</v>
      </c>
      <c r="H48" s="561"/>
      <c r="I48" s="561"/>
      <c r="J48" s="561"/>
      <c r="K48" s="561"/>
      <c r="L48" s="561"/>
      <c r="M48" s="561"/>
      <c r="N48" s="561"/>
      <c r="O48" s="561"/>
      <c r="P48" s="293" t="str">
        <f>FHD_NOTE_P_6</f>
        <v/>
      </c>
      <c r="Q48" s="1640" t="str">
        <f>IF((LEN(E48)-LEN(SUBSTITUTE(E48,".","")))/LEN(".")=1,"p","")</f>
        <v/>
      </c>
      <c r="AL48" s="1635">
        <v>0</v>
      </c>
    </row>
    <row customHeight="1" ht="11.25" hidden="1">
      <c r="A49" s="2375"/>
      <c r="D49" s="1642"/>
      <c r="E49" s="550" t="str">
        <f>FHD_NUM_P_7</f>
        <v/>
      </c>
      <c r="F49" s="1528" t="str">
        <f>FHD_P_7</f>
        <v/>
      </c>
      <c r="G49" s="1882" t="s">
        <v>570</v>
      </c>
      <c r="H49" s="561"/>
      <c r="I49" s="561"/>
      <c r="J49" s="561"/>
      <c r="K49" s="561"/>
      <c r="L49" s="561"/>
      <c r="M49" s="561"/>
      <c r="N49" s="561"/>
      <c r="O49" s="561"/>
      <c r="P49" s="293" t="str">
        <f>FHD_NOTE_P_7</f>
        <v/>
      </c>
      <c r="Q49" s="1640" t="str">
        <f>IF((LEN(E49)-LEN(SUBSTITUTE(E49,".","")))/LEN(".")=1,"p","")</f>
        <v/>
      </c>
      <c r="AL49" s="1635">
        <v>0</v>
      </c>
    </row>
    <row customHeight="1" ht="24.75">
      <c r="D50" s="1642"/>
      <c r="E50" s="550" t="str">
        <f>FHD_NUM_P_8</f>
        <v>2.3</v>
      </c>
      <c r="F50" s="1528" t="str">
        <f>FHD_P_8</f>
        <v>Расходы на приобретаемую электрическую энергию (мощность), используемую в технологическом процессе</v>
      </c>
      <c r="G50" s="1882" t="s">
        <v>570</v>
      </c>
      <c r="H50" s="561"/>
      <c r="I50" s="561">
        <v>700172.97568</v>
      </c>
      <c r="J50" s="561">
        <v>4880.0219</v>
      </c>
      <c r="K50" s="561">
        <v>6641.65932</v>
      </c>
      <c r="L50" s="561">
        <v>15.65339</v>
      </c>
      <c r="M50" s="561">
        <v>0</v>
      </c>
      <c r="N50" s="561">
        <v>2.68277</v>
      </c>
      <c r="O50" s="561">
        <v>16.68901</v>
      </c>
      <c r="P50" s="293" t="str">
        <f>FHD_NOTE_P_8</f>
        <v/>
      </c>
      <c r="Q50" s="1640" t="str">
        <f>IF((LEN(E50)-LEN(SUBSTITUTE(E50,".","")))/LEN(".")=1,"p","")</f>
        <v>p</v>
      </c>
      <c r="AL50" s="1635">
        <v>11</v>
      </c>
    </row>
    <row customHeight="1" ht="11.549999999999999">
      <c r="D51" s="1642"/>
      <c r="E51" s="550" t="str">
        <f>FHD_NUM_P_9</f>
        <v>2.3.1</v>
      </c>
      <c r="F51" s="1654" t="str">
        <f>FHD_P_9</f>
        <v>Средневзвешенная стоимость 1 кВт.ч (с учетом мощности)</v>
      </c>
      <c r="G51" s="1882" t="s">
        <v>591</v>
      </c>
      <c r="H51" s="561"/>
      <c r="I51" s="561">
        <v>5.97</v>
      </c>
      <c r="J51" s="561">
        <v>6.39</v>
      </c>
      <c r="K51" s="561">
        <v>7.89</v>
      </c>
      <c r="L51" s="561">
        <v>6.39</v>
      </c>
      <c r="M51" s="561">
        <v>0</v>
      </c>
      <c r="N51" s="561">
        <v>7.89</v>
      </c>
      <c r="O51" s="561">
        <v>5.97</v>
      </c>
      <c r="P51" s="293" t="str">
        <f>FHD_NOTE_P_9</f>
        <v/>
      </c>
      <c r="Q51" s="1640" t="str">
        <f>IF((LEN(E51)-LEN(SUBSTITUTE(E51,".","")))/LEN(".")=1,"p","")</f>
        <v/>
      </c>
      <c r="AL51" s="1635">
        <v>11</v>
      </c>
    </row>
    <row s="1370" customFormat="1" customHeight="1" ht="11.549999999999999">
      <c r="A52" s="991"/>
      <c r="C52" s="1640"/>
      <c r="D52" s="578"/>
      <c r="E52" s="550" t="str">
        <f>FHD_NUM_P_10</f>
        <v>2.3.2</v>
      </c>
      <c r="F52" s="1654" t="str">
        <f>FHD_P_10</f>
        <v>Объём приобретения электрической энергии</v>
      </c>
      <c r="G52" s="1882" t="s">
        <v>592</v>
      </c>
      <c r="H52" s="561"/>
      <c r="I52" s="561">
        <f>I50/I51</f>
        <v>117281.905474037</v>
      </c>
      <c r="J52" s="561">
        <f>J50/J51</f>
        <v>763.696697965571</v>
      </c>
      <c r="K52" s="561">
        <f>K50/K51</f>
        <v>841.78191634981</v>
      </c>
      <c r="L52" s="561">
        <f>L50/L51</f>
        <v>2.44966979655712</v>
      </c>
      <c r="M52" s="561">
        <v>0</v>
      </c>
      <c r="N52" s="561">
        <f>N50/N51</f>
        <v>0.34002154626109</v>
      </c>
      <c r="O52" s="561">
        <f>O50/O51</f>
        <v>2.79547906197655</v>
      </c>
      <c r="P52" s="293" t="str">
        <f>FHD_NOTE_P_10</f>
        <v/>
      </c>
      <c r="Q52" s="1640" t="str">
        <f>IF((LEN(E52)-LEN(SUBSTITUTE(E52,".","")))/LEN(".")=1,"p","")</f>
        <v/>
      </c>
      <c r="R52" s="1640"/>
      <c r="S52" s="1640"/>
      <c r="X52" s="1640"/>
      <c r="AA52" s="548"/>
      <c r="AG52" s="1636"/>
      <c r="AH52" s="1636"/>
      <c r="AI52" s="1636"/>
      <c r="AJ52" s="1636"/>
      <c r="AK52" s="1636"/>
      <c r="AL52" s="1164">
        <v>11</v>
      </c>
    </row>
    <row s="1370" customFormat="1" customHeight="1" ht="24.75">
      <c r="A53" s="993" t="s">
        <v>593</v>
      </c>
      <c r="C53" s="1640"/>
      <c r="D53" s="579"/>
      <c r="E53" s="550" t="str">
        <f>FHD_NUM_P_11</f>
        <v>2.4</v>
      </c>
      <c r="F53" s="1528" t="str">
        <f>FHD_P_11</f>
        <v>Расходы на приобретение холодной воды, используемой в технологическом процессе</v>
      </c>
      <c r="G53" s="1882" t="s">
        <v>570</v>
      </c>
      <c r="H53" s="561"/>
      <c r="I53" s="561">
        <v>94966.30941</v>
      </c>
      <c r="J53" s="561">
        <v>1089.16712</v>
      </c>
      <c r="K53" s="561">
        <v>181.91121</v>
      </c>
      <c r="L53" s="561">
        <v>18.37298</v>
      </c>
      <c r="M53" s="561">
        <v>0</v>
      </c>
      <c r="N53" s="561">
        <v>425.80091</v>
      </c>
      <c r="O53" s="561">
        <v>1.66978</v>
      </c>
      <c r="P53" s="293" t="str">
        <f>FHD_NOTE_P_11</f>
        <v/>
      </c>
      <c r="Q53" s="1640" t="str">
        <f>IF((LEN(E53)-LEN(SUBSTITUTE(E53,".","")))/LEN(".")=1,"p","")</f>
        <v>p</v>
      </c>
      <c r="R53" s="1640"/>
      <c r="S53" s="1640"/>
      <c r="X53" s="1640"/>
      <c r="AA53" s="548"/>
      <c r="AG53" s="1636"/>
      <c r="AH53" s="1636"/>
      <c r="AI53" s="1636"/>
      <c r="AJ53" s="1636"/>
      <c r="AK53" s="1636"/>
      <c r="AL53" s="1164">
        <v>0</v>
      </c>
    </row>
    <row s="1370" customFormat="1" customHeight="1" ht="31.5">
      <c r="A54" s="993" t="s">
        <v>594</v>
      </c>
      <c r="C54" s="1640"/>
      <c r="D54" s="1642"/>
      <c r="E54" s="550" t="str">
        <f>FHD_NUM_P_12</f>
        <v>2.5</v>
      </c>
      <c r="F54" s="1528" t="str">
        <f>FHD_P_12</f>
        <v>Расходы на  химические реагенты, используемые в технологическом процессе</v>
      </c>
      <c r="G54" s="1882" t="s">
        <v>570</v>
      </c>
      <c r="H54" s="581"/>
      <c r="I54" s="581">
        <v>13401.80661</v>
      </c>
      <c r="J54" s="581">
        <v>176.60928</v>
      </c>
      <c r="K54" s="581">
        <v>6.37184</v>
      </c>
      <c r="L54" s="581">
        <v>5.09925</v>
      </c>
      <c r="M54" s="581">
        <v>0</v>
      </c>
      <c r="N54" s="581">
        <v>6.23137</v>
      </c>
      <c r="O54" s="581">
        <v>0.17658</v>
      </c>
      <c r="P54" s="293" t="str">
        <f>FHD_NOTE_P_12</f>
        <v/>
      </c>
      <c r="Q54" s="1640" t="str">
        <f>IF((LEN(E54)-LEN(SUBSTITUTE(E54,".","")))/LEN(".")=1,"p","")</f>
        <v>p</v>
      </c>
      <c r="R54" s="1640"/>
      <c r="S54" s="1640"/>
      <c r="X54" s="1640"/>
      <c r="AA54" s="548"/>
      <c r="AG54" s="1636"/>
      <c r="AH54" s="1636"/>
      <c r="AI54" s="1636"/>
      <c r="AJ54" s="1636"/>
      <c r="AK54" s="1636"/>
      <c r="AL54" s="1164">
        <v>18</v>
      </c>
    </row>
    <row s="1369" customFormat="1" customHeight="1" ht="35.25">
      <c r="A55" s="992"/>
      <c r="C55" s="734"/>
      <c r="D55" s="677"/>
      <c r="E55" s="550" t="str">
        <f>FHD_NUM_P_13</f>
        <v>2.6</v>
      </c>
      <c r="F55" s="15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882" t="s">
        <v>570</v>
      </c>
      <c r="H55" s="561"/>
      <c r="I55" s="561">
        <f>I56+I57</f>
        <v>976371.32931</v>
      </c>
      <c r="J55" s="561">
        <f>J56+J57</f>
        <v>4843.68708</v>
      </c>
      <c r="K55" s="561">
        <f>K56+K57</f>
        <v>5018.97391</v>
      </c>
      <c r="L55" s="561">
        <f>L56+L57</f>
        <v>16.04041</v>
      </c>
      <c r="M55" s="561">
        <v>0</v>
      </c>
      <c r="N55" s="561">
        <f>N56+N57</f>
        <v>0</v>
      </c>
      <c r="O55" s="561">
        <f>O56+O57</f>
        <v>43.65159</v>
      </c>
      <c r="P55" s="293" t="str">
        <f>FHD_NOTE_P_13</f>
        <v/>
      </c>
      <c r="Q55" s="1640" t="str">
        <f>IF((LEN(E55)-LEN(SUBSTITUTE(E55,".","")))/LEN(".")=1,"p","")</f>
        <v>p</v>
      </c>
      <c r="R55" s="734"/>
      <c r="S55" s="734"/>
      <c r="X55" s="734"/>
      <c r="AA55" s="735"/>
      <c r="AG55" s="736"/>
      <c r="AH55" s="736"/>
      <c r="AI55" s="736"/>
      <c r="AJ55" s="736"/>
      <c r="AK55" s="736"/>
      <c r="AL55" s="733">
        <v>11</v>
      </c>
    </row>
    <row s="1369" customFormat="1" customHeight="1" ht="22.5">
      <c r="A56" s="992"/>
      <c r="C56" s="734"/>
      <c r="D56" s="677"/>
      <c r="E56" s="550" t="str">
        <f>FHD_NUM_P_14</f>
        <v>2.6.1</v>
      </c>
      <c r="F56" s="1654" t="str">
        <f>FHD_P_14</f>
        <v>Расходы на оплату труда основного производственного персонала</v>
      </c>
      <c r="G56" s="1882" t="s">
        <v>570</v>
      </c>
      <c r="H56" s="561"/>
      <c r="I56" s="561">
        <v>750506.36798</v>
      </c>
      <c r="J56" s="561">
        <v>3705.60527</v>
      </c>
      <c r="K56" s="561">
        <v>3842.02421</v>
      </c>
      <c r="L56" s="561">
        <v>12.32188</v>
      </c>
      <c r="M56" s="561">
        <v>0</v>
      </c>
      <c r="N56" s="561">
        <v>0</v>
      </c>
      <c r="O56" s="561">
        <v>33.54689</v>
      </c>
      <c r="P56" s="293" t="str">
        <f>FHD_NOTE_P_14</f>
        <v/>
      </c>
      <c r="Q56" s="1640" t="str">
        <f>IF((LEN(E56)-LEN(SUBSTITUTE(E56,".","")))/LEN(".")=1,"p","")</f>
        <v/>
      </c>
      <c r="R56" s="734"/>
      <c r="S56" s="734"/>
      <c r="X56" s="734"/>
      <c r="AA56" s="735"/>
      <c r="AG56" s="736"/>
      <c r="AH56" s="736"/>
      <c r="AI56" s="736"/>
      <c r="AJ56" s="736"/>
      <c r="AK56" s="736"/>
      <c r="AL56" s="733">
        <v>11</v>
      </c>
    </row>
    <row s="1369" customFormat="1" customHeight="1" ht="39.75">
      <c r="A57" s="992"/>
      <c r="C57" s="734"/>
      <c r="D57" s="677"/>
      <c r="E57" s="550" t="str">
        <f>FHD_NUM_P_15</f>
        <v>2.6.2</v>
      </c>
      <c r="F57" s="1654" t="str">
        <f>FHD_P_15</f>
        <v>Страховые взносы на обязательное социальное страхование, выплачиваемые из фонда оплаты труда основного производственного персонала</v>
      </c>
      <c r="G57" s="1882" t="s">
        <v>570</v>
      </c>
      <c r="H57" s="561"/>
      <c r="I57" s="561">
        <v>225864.96133</v>
      </c>
      <c r="J57" s="561">
        <v>1138.08181</v>
      </c>
      <c r="K57" s="561">
        <v>1176.9497</v>
      </c>
      <c r="L57" s="561">
        <v>3.71853</v>
      </c>
      <c r="M57" s="561">
        <v>0</v>
      </c>
      <c r="N57" s="561">
        <v>0</v>
      </c>
      <c r="O57" s="561">
        <v>10.1047</v>
      </c>
      <c r="P57" s="293" t="str">
        <f>FHD_NOTE_P_15</f>
        <v/>
      </c>
      <c r="Q57" s="1640" t="str">
        <f>IF((LEN(E57)-LEN(SUBSTITUTE(E57,".","")))/LEN(".")=1,"p","")</f>
        <v/>
      </c>
      <c r="R57" s="734"/>
      <c r="S57" s="734"/>
      <c r="X57" s="734"/>
      <c r="AA57" s="735"/>
      <c r="AG57" s="736"/>
      <c r="AH57" s="736"/>
      <c r="AI57" s="736"/>
      <c r="AJ57" s="736"/>
      <c r="AK57" s="736"/>
      <c r="AL57" s="733">
        <v>11</v>
      </c>
    </row>
    <row s="1370" customFormat="1" customHeight="1" ht="45">
      <c r="A58" s="991"/>
      <c r="C58" s="1640"/>
      <c r="D58" s="1642"/>
      <c r="E58" s="550" t="str">
        <f>FHD_NUM_P_16</f>
        <v>2.7</v>
      </c>
      <c r="F58" s="15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882" t="s">
        <v>570</v>
      </c>
      <c r="H58" s="561"/>
      <c r="I58" s="561">
        <f>I59+I60</f>
        <v>1213100.07666</v>
      </c>
      <c r="J58" s="561">
        <f>J59+J60</f>
        <v>7062.56407</v>
      </c>
      <c r="K58" s="561">
        <f>K59+K60</f>
        <v>5529.45533</v>
      </c>
      <c r="L58" s="561">
        <f>L59+L60</f>
        <v>0</v>
      </c>
      <c r="M58" s="561">
        <f>M59+M60</f>
        <v>1604.67397</v>
      </c>
      <c r="N58" s="561">
        <f>N59+N60</f>
        <v>272.02098</v>
      </c>
      <c r="O58" s="561">
        <f>O59+O60</f>
        <v>56.41293</v>
      </c>
      <c r="P58" s="293" t="str">
        <f>FHD_NOTE_P_16</f>
        <v/>
      </c>
      <c r="Q58" s="1640" t="str">
        <f>IF((LEN(E58)-LEN(SUBSTITUTE(E58,".","")))/LEN(".")=1,"p","")</f>
        <v>p</v>
      </c>
      <c r="R58" s="1640"/>
      <c r="S58" s="1646"/>
      <c r="T58" s="541"/>
      <c r="U58" s="541"/>
      <c r="X58" s="1640"/>
      <c r="AA58" s="548"/>
      <c r="AG58" s="1636"/>
      <c r="AH58" s="1636"/>
      <c r="AI58" s="1636"/>
      <c r="AJ58" s="1636"/>
      <c r="AK58" s="1636"/>
      <c r="AL58" s="1164">
        <v>11</v>
      </c>
    </row>
    <row s="1370" customFormat="1" customHeight="1" ht="25.5">
      <c r="A59" s="991"/>
      <c r="C59" s="1640"/>
      <c r="D59" s="1642"/>
      <c r="E59" s="550" t="str">
        <f>FHD_NUM_P_17</f>
        <v>2.7.1</v>
      </c>
      <c r="F59" s="1654" t="str">
        <f>FHD_P_17</f>
        <v>Расходы на оплату труда административно-управленческого персонала</v>
      </c>
      <c r="G59" s="1882" t="s">
        <v>570</v>
      </c>
      <c r="H59" s="561"/>
      <c r="I59" s="561">
        <v>940116.51653</v>
      </c>
      <c r="J59" s="561">
        <v>5461.83155</v>
      </c>
      <c r="K59" s="561">
        <v>4289.21553</v>
      </c>
      <c r="L59" s="561">
        <v>0</v>
      </c>
      <c r="M59" s="561">
        <v>1232.70397</v>
      </c>
      <c r="N59" s="561">
        <v>211.10943</v>
      </c>
      <c r="O59" s="561">
        <v>43.73942</v>
      </c>
      <c r="P59" s="293" t="str">
        <f>FHD_NOTE_P_17</f>
        <v/>
      </c>
      <c r="Q59" s="1640" t="str">
        <f>IF((LEN(E59)-LEN(SUBSTITUTE(E59,".","")))/LEN(".")=1,"p","")</f>
        <v/>
      </c>
      <c r="R59" s="1640"/>
      <c r="S59" s="1646"/>
      <c r="T59" s="541"/>
      <c r="U59" s="541"/>
      <c r="X59" s="1640"/>
      <c r="AA59" s="548"/>
      <c r="AG59" s="1636"/>
      <c r="AH59" s="1636"/>
      <c r="AI59" s="1636"/>
      <c r="AJ59" s="1636"/>
      <c r="AK59" s="1636"/>
      <c r="AL59" s="1164">
        <v>11</v>
      </c>
    </row>
    <row s="1370" customFormat="1" customHeight="1" ht="35.25">
      <c r="A60" s="991"/>
      <c r="C60" s="1640"/>
      <c r="D60" s="1642"/>
      <c r="E60" s="550" t="str">
        <f>FHD_NUM_P_18</f>
        <v>2.7.2</v>
      </c>
      <c r="F60" s="1654"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882" t="s">
        <v>570</v>
      </c>
      <c r="H60" s="561"/>
      <c r="I60" s="561">
        <v>272983.56013</v>
      </c>
      <c r="J60" s="561">
        <v>1600.73252</v>
      </c>
      <c r="K60" s="561">
        <v>1240.2398</v>
      </c>
      <c r="L60" s="561">
        <v>0</v>
      </c>
      <c r="M60" s="561">
        <v>371.97</v>
      </c>
      <c r="N60" s="561">
        <v>60.91155</v>
      </c>
      <c r="O60" s="561">
        <v>12.67351</v>
      </c>
      <c r="P60" s="293" t="str">
        <f>FHD_NOTE_P_18</f>
        <v/>
      </c>
      <c r="Q60" s="1640" t="str">
        <f>IF((LEN(E60)-LEN(SUBSTITUTE(E60,".","")))/LEN(".")=1,"p","")</f>
        <v/>
      </c>
      <c r="R60" s="1640"/>
      <c r="S60" s="1646"/>
      <c r="T60" s="541"/>
      <c r="U60" s="541"/>
      <c r="X60" s="1640"/>
      <c r="AA60" s="548"/>
      <c r="AG60" s="1636"/>
      <c r="AH60" s="1636"/>
      <c r="AI60" s="1636"/>
      <c r="AJ60" s="1636"/>
      <c r="AK60" s="1636"/>
      <c r="AL60" s="1164">
        <v>11</v>
      </c>
    </row>
    <row s="1370" customFormat="1" customHeight="1" ht="24">
      <c r="A61" s="991"/>
      <c r="C61" s="1640"/>
      <c r="D61" s="579"/>
      <c r="E61" s="550" t="str">
        <f>FHD_NUM_P_19</f>
        <v>2.8</v>
      </c>
      <c r="F61" s="1528" t="str">
        <f>FHD_P_19</f>
        <v>Расходы на амортизацию основных средств и нематериальных активов</v>
      </c>
      <c r="G61" s="1882" t="s">
        <v>570</v>
      </c>
      <c r="H61" s="561"/>
      <c r="I61" s="561">
        <f>825303.84883+1061.30658+20872.86427</f>
        <v>847238.01968</v>
      </c>
      <c r="J61" s="561">
        <f>15965.25788+88.3297</f>
        <v>16053.58758</v>
      </c>
      <c r="K61" s="561">
        <f>6627.60566+102.68084</f>
        <v>6730.2865</v>
      </c>
      <c r="L61" s="561">
        <v>10.56984</v>
      </c>
      <c r="M61" s="561">
        <v>0</v>
      </c>
      <c r="N61" s="561">
        <v>5.13291</v>
      </c>
      <c r="O61" s="561">
        <v>57.8266</v>
      </c>
      <c r="P61" s="293" t="str">
        <f>FHD_NOTE_P_19</f>
        <v/>
      </c>
      <c r="Q61" s="1640" t="str">
        <f>IF((LEN(E61)-LEN(SUBSTITUTE(E61,".","")))/LEN(".")=1,"p","")</f>
        <v>p</v>
      </c>
      <c r="R61" s="1640"/>
      <c r="S61" s="1640"/>
      <c r="X61" s="1640"/>
      <c r="AA61" s="548"/>
      <c r="AG61" s="1636"/>
      <c r="AH61" s="1636"/>
      <c r="AI61" s="1636"/>
      <c r="AJ61" s="1636"/>
      <c r="AK61" s="1636"/>
      <c r="AL61" s="1164">
        <v>11</v>
      </c>
    </row>
    <row s="1370" customFormat="1" customHeight="1" ht="11.549999999999999">
      <c r="A62" s="991"/>
      <c r="C62" s="1640"/>
      <c r="D62" s="579"/>
      <c r="E62" s="550" t="str">
        <f>FHD_NUM_P_20</f>
        <v>2.8.1</v>
      </c>
      <c r="F62" s="1654" t="str">
        <f>FHD_P_20</f>
        <v>Расходы на амортизацию основных средств</v>
      </c>
      <c r="G62" s="1882" t="s">
        <v>570</v>
      </c>
      <c r="H62" s="561"/>
      <c r="I62" s="561">
        <v>0</v>
      </c>
      <c r="J62" s="561">
        <v>0</v>
      </c>
      <c r="K62" s="561">
        <v>0</v>
      </c>
      <c r="L62" s="561">
        <v>0</v>
      </c>
      <c r="M62" s="561">
        <v>0</v>
      </c>
      <c r="N62" s="561">
        <v>0</v>
      </c>
      <c r="O62" s="561">
        <v>0</v>
      </c>
      <c r="P62" s="293" t="str">
        <f>FHD_NOTE_P_20</f>
        <v/>
      </c>
      <c r="Q62" s="1640" t="str">
        <f>IF((LEN(E62)-LEN(SUBSTITUTE(E62,".","")))/LEN(".")=1,"p","")</f>
        <v/>
      </c>
      <c r="R62" s="1640"/>
      <c r="S62" s="1640"/>
      <c r="X62" s="1640"/>
      <c r="AA62" s="548"/>
      <c r="AG62" s="1636"/>
      <c r="AH62" s="1636"/>
      <c r="AI62" s="1636"/>
      <c r="AJ62" s="1636"/>
      <c r="AK62" s="1636"/>
      <c r="AL62" s="1164">
        <v>11</v>
      </c>
    </row>
    <row s="1370" customFormat="1" customHeight="1" ht="11.549999999999999">
      <c r="A63" s="991"/>
      <c r="C63" s="1640"/>
      <c r="D63" s="579"/>
      <c r="E63" s="550" t="str">
        <f>FHD_NUM_P_21</f>
        <v>2.8.2</v>
      </c>
      <c r="F63" s="1654" t="str">
        <f>FHD_P_21</f>
        <v>Расходы на амортизацию нематериальных активов</v>
      </c>
      <c r="G63" s="1882" t="s">
        <v>570</v>
      </c>
      <c r="H63" s="561"/>
      <c r="I63" s="561">
        <v>0</v>
      </c>
      <c r="J63" s="561">
        <v>0</v>
      </c>
      <c r="K63" s="561">
        <v>0</v>
      </c>
      <c r="L63" s="561">
        <v>0</v>
      </c>
      <c r="M63" s="561">
        <v>0</v>
      </c>
      <c r="N63" s="561">
        <v>0</v>
      </c>
      <c r="O63" s="561">
        <v>0</v>
      </c>
      <c r="P63" s="293" t="str">
        <f>FHD_NOTE_P_21</f>
        <v/>
      </c>
      <c r="Q63" s="1640" t="str">
        <f>IF((LEN(E63)-LEN(SUBSTITUTE(E63,".","")))/LEN(".")=1,"p","")</f>
        <v/>
      </c>
      <c r="R63" s="1640"/>
      <c r="S63" s="1640"/>
      <c r="X63" s="1640"/>
      <c r="AA63" s="548"/>
      <c r="AG63" s="1636"/>
      <c r="AH63" s="1636"/>
      <c r="AI63" s="1636"/>
      <c r="AJ63" s="1636"/>
      <c r="AK63" s="1636"/>
      <c r="AL63" s="1164">
        <v>11</v>
      </c>
    </row>
    <row s="1370" customFormat="1" customHeight="1" ht="27">
      <c r="A64" s="991"/>
      <c r="C64" s="1640"/>
      <c r="D64" s="1642"/>
      <c r="E64" s="550" t="str">
        <f>FHD_NUM_P_22</f>
        <v>2.9</v>
      </c>
      <c r="F64" s="1528" t="str">
        <f>FHD_P_22</f>
        <v>Расходы на аренду имущества, используемого для осуществления регулируемого вида деятельности</v>
      </c>
      <c r="G64" s="1882" t="s">
        <v>570</v>
      </c>
      <c r="H64" s="561"/>
      <c r="I64" s="561">
        <f>87923.46571+2319.4819+780.56356+30930.29544</f>
        <v>121953.80661</v>
      </c>
      <c r="J64" s="561">
        <f>12.58281+3.577+132.09544+29.03741</f>
        <v>177.29266</v>
      </c>
      <c r="K64" s="561">
        <f>54.25073+34.08696+3.7933+152.66396</f>
        <v>244.79495</v>
      </c>
      <c r="L64" s="561">
        <v>0</v>
      </c>
      <c r="M64" s="561">
        <v>0</v>
      </c>
      <c r="N64" s="561">
        <f>0.72828+0.2032+7.65632</f>
        <v>8.5878</v>
      </c>
      <c r="O64" s="561">
        <v>15.1351</v>
      </c>
      <c r="P64" s="293" t="str">
        <f>FHD_NOTE_P_22</f>
        <v/>
      </c>
      <c r="Q64" s="1640" t="str">
        <f>IF((LEN(E64)-LEN(SUBSTITUTE(E64,".","")))/LEN(".")=1,"p","")</f>
        <v>p</v>
      </c>
      <c r="R64" s="1640"/>
      <c r="S64" s="1640"/>
      <c r="X64" s="1640"/>
      <c r="AA64" s="548"/>
      <c r="AG64" s="1636"/>
      <c r="AH64" s="1636"/>
      <c r="AI64" s="1636"/>
      <c r="AJ64" s="1636"/>
      <c r="AK64" s="1636"/>
      <c r="AL64" s="1164">
        <v>11</v>
      </c>
    </row>
    <row s="1370" customFormat="1" customHeight="1" ht="16.5">
      <c r="A65" s="991"/>
      <c r="C65" s="1640"/>
      <c r="D65" s="579"/>
      <c r="E65" s="550" t="str">
        <f>FHD_NUM_P_23</f>
        <v>2.10</v>
      </c>
      <c r="F65" s="1528" t="str">
        <f>FHD_P_23</f>
        <v>Общепроизводственные расходы, в том числе:</v>
      </c>
      <c r="G65" s="1882" t="s">
        <v>570</v>
      </c>
      <c r="H65" s="561"/>
      <c r="I65" s="561">
        <v>240657.58247</v>
      </c>
      <c r="J65" s="561">
        <v>660.84826</v>
      </c>
      <c r="K65" s="561">
        <v>841.73374</v>
      </c>
      <c r="L65" s="561">
        <v>0</v>
      </c>
      <c r="M65" s="561">
        <v>0</v>
      </c>
      <c r="N65" s="561">
        <v>0.41507</v>
      </c>
      <c r="O65" s="561">
        <v>13.76332</v>
      </c>
      <c r="P65" s="293" t="str">
        <f>FHD_NOTE_P_23</f>
        <v>Указывается общая сумма общепроизводственных расходов.</v>
      </c>
      <c r="Q65" s="1640" t="str">
        <f>IF((LEN(E65)-LEN(SUBSTITUTE(E65,".","")))/LEN(".")=1,"p","")</f>
        <v>p</v>
      </c>
      <c r="R65" s="1640"/>
      <c r="S65" s="1640"/>
      <c r="X65" s="1640"/>
      <c r="AA65" s="548"/>
      <c r="AG65" s="1636"/>
      <c r="AH65" s="1636"/>
      <c r="AI65" s="1636"/>
      <c r="AJ65" s="1636"/>
      <c r="AK65" s="1636"/>
      <c r="AL65" s="1164">
        <v>11</v>
      </c>
    </row>
    <row s="1370" customFormat="1" customHeight="1" ht="11.549999999999999">
      <c r="A66" s="991"/>
      <c r="C66" s="1640"/>
      <c r="D66" s="579"/>
      <c r="E66" s="550" t="str">
        <f>FHD_NUM_P_24</f>
        <v>2.10.1</v>
      </c>
      <c r="F66" s="1654" t="str">
        <f>FHD_P_24</f>
        <v>Расходы на текущий ремонт</v>
      </c>
      <c r="G66" s="1882" t="s">
        <v>570</v>
      </c>
      <c r="H66" s="561"/>
      <c r="I66" s="561">
        <v>0</v>
      </c>
      <c r="J66" s="561">
        <v>0</v>
      </c>
      <c r="K66" s="561">
        <v>0</v>
      </c>
      <c r="L66" s="561">
        <v>0</v>
      </c>
      <c r="M66" s="561">
        <v>0</v>
      </c>
      <c r="N66" s="561">
        <v>0</v>
      </c>
      <c r="O66" s="561">
        <v>0</v>
      </c>
      <c r="P66" s="293" t="str">
        <f>FHD_NOTE_P_24</f>
        <v>Указываются расходы на текущий ремонт, отнесенные к общепроизводственным расходам.</v>
      </c>
      <c r="Q66" s="1640" t="str">
        <f>IF((LEN(E66)-LEN(SUBSTITUTE(E66,".","")))/LEN(".")=1,"p","")</f>
        <v/>
      </c>
      <c r="R66" s="1640"/>
      <c r="S66" s="1640"/>
      <c r="X66" s="1640"/>
      <c r="AA66" s="548"/>
      <c r="AG66" s="1636"/>
      <c r="AH66" s="1636"/>
      <c r="AI66" s="1636"/>
      <c r="AJ66" s="1636"/>
      <c r="AK66" s="1636"/>
      <c r="AL66" s="1164">
        <v>11</v>
      </c>
    </row>
    <row s="1370" customFormat="1" customHeight="1" ht="11.549999999999999">
      <c r="A67" s="991"/>
      <c r="C67" s="1640"/>
      <c r="D67" s="579"/>
      <c r="E67" s="550" t="str">
        <f>FHD_NUM_P_25</f>
        <v>2.10.2</v>
      </c>
      <c r="F67" s="1654" t="str">
        <f>FHD_P_25</f>
        <v>Расходы на капитальный ремонт</v>
      </c>
      <c r="G67" s="1882" t="s">
        <v>570</v>
      </c>
      <c r="H67" s="561"/>
      <c r="I67" s="561">
        <v>0</v>
      </c>
      <c r="J67" s="561">
        <v>0</v>
      </c>
      <c r="K67" s="561">
        <v>0</v>
      </c>
      <c r="L67" s="561">
        <v>0</v>
      </c>
      <c r="M67" s="561">
        <v>0</v>
      </c>
      <c r="N67" s="561">
        <v>0</v>
      </c>
      <c r="O67" s="561">
        <v>0</v>
      </c>
      <c r="P67" s="293" t="str">
        <f>FHD_NOTE_P_25</f>
        <v>Указываются расходы на капитальный ремонт, отнесенные к общепроизводственным расходам.</v>
      </c>
      <c r="Q67" s="1640" t="str">
        <f>IF((LEN(E67)-LEN(SUBSTITUTE(E67,".","")))/LEN(".")=1,"p","")</f>
        <v/>
      </c>
      <c r="R67" s="1640"/>
      <c r="S67" s="1640"/>
      <c r="X67" s="1640"/>
      <c r="AA67" s="548"/>
      <c r="AG67" s="1636"/>
      <c r="AH67" s="1636"/>
      <c r="AI67" s="1636"/>
      <c r="AJ67" s="1636"/>
      <c r="AK67" s="1636"/>
      <c r="AL67" s="1164">
        <v>11</v>
      </c>
    </row>
    <row s="1370" customFormat="1" customHeight="1" ht="16.5">
      <c r="A68" s="991"/>
      <c r="C68" s="1640"/>
      <c r="D68" s="1642"/>
      <c r="E68" s="550" t="str">
        <f>FHD_NUM_P_26</f>
        <v>2.11</v>
      </c>
      <c r="F68" s="1528" t="str">
        <f>FHD_P_26</f>
        <v>Общехозяйственные расходы, в том числе:</v>
      </c>
      <c r="G68" s="1882" t="s">
        <v>570</v>
      </c>
      <c r="H68" s="561"/>
      <c r="I68" s="561">
        <v>171801.08426</v>
      </c>
      <c r="J68" s="561">
        <v>1923.4422</v>
      </c>
      <c r="K68" s="561">
        <v>1932.221</v>
      </c>
      <c r="L68" s="561">
        <v>0</v>
      </c>
      <c r="M68" s="561">
        <v>72.95956</v>
      </c>
      <c r="N68" s="561">
        <v>95.59812</v>
      </c>
      <c r="O68" s="561">
        <v>10.63427</v>
      </c>
      <c r="P68" s="293" t="str">
        <f>FHD_NOTE_P_26</f>
        <v>Указывается общая сумма общехозяйственных расходов.</v>
      </c>
      <c r="Q68" s="1640" t="str">
        <f>IF((LEN(E68)-LEN(SUBSTITUTE(E68,".","")))/LEN(".")=1,"p","")</f>
        <v>p</v>
      </c>
      <c r="R68" s="1640"/>
      <c r="S68" s="1640"/>
      <c r="X68" s="1640"/>
      <c r="AA68" s="548"/>
      <c r="AG68" s="1636"/>
      <c r="AH68" s="1636"/>
      <c r="AI68" s="1636"/>
      <c r="AJ68" s="1636"/>
      <c r="AK68" s="1636"/>
      <c r="AL68" s="1164">
        <v>11</v>
      </c>
    </row>
    <row s="1370" customFormat="1" customHeight="1" ht="11.549999999999999">
      <c r="A69" s="991"/>
      <c r="C69" s="1640"/>
      <c r="D69" s="1642"/>
      <c r="E69" s="550" t="str">
        <f>FHD_NUM_P_27</f>
        <v>2.11.1</v>
      </c>
      <c r="F69" s="1654" t="str">
        <f>FHD_P_27</f>
        <v>Расходы на текущий ремонт</v>
      </c>
      <c r="G69" s="1882" t="s">
        <v>570</v>
      </c>
      <c r="H69" s="561"/>
      <c r="I69" s="561">
        <v>0</v>
      </c>
      <c r="J69" s="561">
        <v>0</v>
      </c>
      <c r="K69" s="561">
        <v>0</v>
      </c>
      <c r="L69" s="561">
        <v>0</v>
      </c>
      <c r="M69" s="561">
        <v>0</v>
      </c>
      <c r="N69" s="561">
        <v>0</v>
      </c>
      <c r="O69" s="561">
        <v>0</v>
      </c>
      <c r="P69" s="293" t="str">
        <f>FHD_NOTE_P_27</f>
        <v>Указываются расходы на текущий ремонт, отнесенные к общехозяйственным расходам.</v>
      </c>
      <c r="Q69" s="1640" t="str">
        <f>IF((LEN(E69)-LEN(SUBSTITUTE(E69,".","")))/LEN(".")=1,"p","")</f>
        <v/>
      </c>
      <c r="R69" s="1640"/>
      <c r="S69" s="1640"/>
      <c r="X69" s="1640"/>
      <c r="AA69" s="548"/>
      <c r="AG69" s="1636"/>
      <c r="AH69" s="1636"/>
      <c r="AI69" s="1636"/>
      <c r="AJ69" s="1636"/>
      <c r="AK69" s="1636"/>
      <c r="AL69" s="1164">
        <v>11</v>
      </c>
    </row>
    <row s="1370" customFormat="1" customHeight="1" ht="11.549999999999999">
      <c r="A70" s="991"/>
      <c r="C70" s="1640"/>
      <c r="D70" s="1642"/>
      <c r="E70" s="550" t="str">
        <f>FHD_NUM_P_28</f>
        <v>2.11.2</v>
      </c>
      <c r="F70" s="1654" t="str">
        <f>FHD_P_28</f>
        <v>Расходы на капитальный ремонт</v>
      </c>
      <c r="G70" s="1882" t="s">
        <v>570</v>
      </c>
      <c r="H70" s="561"/>
      <c r="I70" s="561">
        <v>0</v>
      </c>
      <c r="J70" s="561">
        <v>0</v>
      </c>
      <c r="K70" s="561">
        <v>0</v>
      </c>
      <c r="L70" s="561">
        <v>0</v>
      </c>
      <c r="M70" s="561">
        <v>0</v>
      </c>
      <c r="N70" s="561">
        <v>0</v>
      </c>
      <c r="O70" s="561">
        <v>0</v>
      </c>
      <c r="P70" s="293" t="str">
        <f>FHD_NOTE_P_28</f>
        <v>Указываются расходы на капитальный ремонт, отнесенные к общехозяйственным расходам.</v>
      </c>
      <c r="Q70" s="1640" t="str">
        <f>IF((LEN(E70)-LEN(SUBSTITUTE(E70,".","")))/LEN(".")=1,"p","")</f>
        <v/>
      </c>
      <c r="R70" s="1640"/>
      <c r="S70" s="1640"/>
      <c r="X70" s="1640"/>
      <c r="AA70" s="548"/>
      <c r="AG70" s="1636"/>
      <c r="AH70" s="1636"/>
      <c r="AI70" s="1636"/>
      <c r="AJ70" s="1636"/>
      <c r="AK70" s="1636"/>
      <c r="AL70" s="1164">
        <v>11</v>
      </c>
    </row>
    <row s="1370" customFormat="1" customHeight="1" ht="21.75">
      <c r="A71" s="991"/>
      <c r="C71" s="1640"/>
      <c r="D71" s="1642"/>
      <c r="E71" s="550" t="str">
        <f>FHD_NUM_P_29</f>
        <v>2.12</v>
      </c>
      <c r="F71" s="1528" t="str">
        <f>FHD_P_29</f>
        <v>Расходы на капитальный и текущий ремонт основных средств</v>
      </c>
      <c r="G71" s="1882" t="s">
        <v>570</v>
      </c>
      <c r="H71" s="561"/>
      <c r="I71" s="561">
        <v>1282636.25222</v>
      </c>
      <c r="J71" s="561">
        <v>3443.15006</v>
      </c>
      <c r="K71" s="561">
        <v>4137.4599</v>
      </c>
      <c r="L71" s="561">
        <v>1.04078</v>
      </c>
      <c r="M71" s="561">
        <v>0</v>
      </c>
      <c r="N71" s="561">
        <v>14.08573</v>
      </c>
      <c r="O71" s="561">
        <v>180.53844</v>
      </c>
      <c r="P71" s="29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71" s="1640" t="str">
        <f>IF((LEN(E71)-LEN(SUBSTITUTE(E71,".","")))/LEN(".")=1,"p","")</f>
        <v>p</v>
      </c>
      <c r="R71" s="1640"/>
      <c r="S71" s="1640"/>
      <c r="X71" s="1640"/>
      <c r="AA71" s="548"/>
      <c r="AG71" s="1636"/>
      <c r="AH71" s="1636"/>
      <c r="AI71" s="1636"/>
      <c r="AJ71" s="1636"/>
      <c r="AK71" s="1636"/>
      <c r="AL71" s="1164">
        <v>11</v>
      </c>
    </row>
    <row s="1370" customFormat="1" customHeight="1" ht="47.25">
      <c r="A72" s="991"/>
      <c r="C72" s="1640"/>
      <c r="D72" s="1642"/>
      <c r="E72" s="550" t="str">
        <f>FHD_NUM_P_30</f>
        <v>2.12.1</v>
      </c>
      <c r="F72" s="165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882" t="s">
        <v>324</v>
      </c>
      <c r="H72" s="1653" t="s">
        <v>595</v>
      </c>
      <c r="I72" s="1653" t="s">
        <v>595</v>
      </c>
      <c r="J72" s="2489" t="s">
        <v>595</v>
      </c>
      <c r="K72" s="2489" t="s">
        <v>595</v>
      </c>
      <c r="L72" s="2489" t="s">
        <v>595</v>
      </c>
      <c r="M72" s="2489" t="s">
        <v>595</v>
      </c>
      <c r="N72" s="2489" t="s">
        <v>595</v>
      </c>
      <c r="O72" s="2489" t="s">
        <v>595</v>
      </c>
      <c r="P72" s="293" t="str">
        <f>FHD_NOTE_P_30</f>
        <v/>
      </c>
      <c r="Q72" s="1640" t="str">
        <f>IF((LEN(E72)-LEN(SUBSTITUTE(E72,".","")))/LEN(".")=1,"p","")</f>
        <v/>
      </c>
      <c r="R72" s="1640">
        <f>_xlfn.IFERROR(MATCH("есть",B_FHD_FLAG_INDEX_1,0),0)</f>
        <v>0</v>
      </c>
      <c r="S72" s="1640"/>
      <c r="X72" s="1640"/>
      <c r="AA72" s="548"/>
      <c r="AG72" s="1636"/>
      <c r="AH72" s="1636"/>
      <c r="AI72" s="1636"/>
      <c r="AJ72" s="1636"/>
      <c r="AK72" s="1636"/>
      <c r="AL72" s="1164">
        <v>11</v>
      </c>
    </row>
    <row s="1370" customFormat="1" customHeight="1" ht="23.25" hidden="1">
      <c r="A73" s="2375" t="s">
        <v>596</v>
      </c>
      <c r="C73" s="1640"/>
      <c r="D73" s="1642"/>
      <c r="E73" s="550" t="str">
        <f>FHD_NUM_P_31</f>
        <v/>
      </c>
      <c r="F73" s="1528" t="str">
        <f>FHD_P_31</f>
        <v/>
      </c>
      <c r="G73" s="1882" t="s">
        <v>570</v>
      </c>
      <c r="H73" s="561"/>
      <c r="I73" s="561"/>
      <c r="J73" s="561"/>
      <c r="K73" s="561"/>
      <c r="L73" s="561"/>
      <c r="M73" s="561"/>
      <c r="N73" s="561"/>
      <c r="O73" s="561"/>
      <c r="P73" s="293" t="str">
        <f>FHD_NOTE_P_31</f>
        <v/>
      </c>
      <c r="Q73" s="1640" t="str">
        <f>IF((LEN(E73)-LEN(SUBSTITUTE(E73,".","")))/LEN(".")=1,"p","")</f>
        <v/>
      </c>
      <c r="R73" s="1640"/>
      <c r="S73" s="1640"/>
      <c r="X73" s="1640"/>
      <c r="AA73" s="548"/>
      <c r="AG73" s="1636"/>
      <c r="AH73" s="1636"/>
      <c r="AI73" s="1636"/>
      <c r="AJ73" s="1636"/>
      <c r="AK73" s="1636"/>
      <c r="AL73" s="1164">
        <v>22</v>
      </c>
    </row>
    <row s="1370" customFormat="1" customHeight="1" ht="47.25" hidden="1">
      <c r="A74" s="2375"/>
      <c r="C74" s="1640"/>
      <c r="D74" s="1642"/>
      <c r="E74" s="550" t="str">
        <f>FHD_NUM_P_32</f>
        <v/>
      </c>
      <c r="F74" s="1654" t="str">
        <f>FHD_P_32</f>
        <v/>
      </c>
      <c r="G74" s="1882" t="s">
        <v>324</v>
      </c>
      <c r="H74" s="1653" t="s">
        <v>595</v>
      </c>
      <c r="I74" s="1653" t="s">
        <v>595</v>
      </c>
      <c r="J74" s="2489" t="s">
        <v>595</v>
      </c>
      <c r="K74" s="2489" t="s">
        <v>595</v>
      </c>
      <c r="L74" s="2489" t="s">
        <v>595</v>
      </c>
      <c r="M74" s="2489" t="s">
        <v>595</v>
      </c>
      <c r="N74" s="2489" t="s">
        <v>595</v>
      </c>
      <c r="O74" s="2489" t="s">
        <v>595</v>
      </c>
      <c r="P74" s="293" t="str">
        <f>FHD_NOTE_P_32</f>
        <v/>
      </c>
      <c r="Q74" s="1640" t="str">
        <f>IF((LEN(E74)-LEN(SUBSTITUTE(E74,".","")))/LEN(".")=1,"p","")</f>
        <v/>
      </c>
      <c r="R74" s="1640">
        <f>_xlfn.IFERROR(MATCH("есть",B_FHD_FLAG_INDEX_2,0),0)</f>
        <v>0</v>
      </c>
      <c r="S74" s="1640"/>
      <c r="X74" s="1640"/>
      <c r="AA74" s="548"/>
      <c r="AG74" s="1636"/>
      <c r="AH74" s="1636"/>
      <c r="AI74" s="1636"/>
      <c r="AJ74" s="1636"/>
      <c r="AK74" s="1636"/>
      <c r="AL74" s="1164">
        <v>45</v>
      </c>
    </row>
    <row s="1370" customFormat="1" customHeight="1" ht="11.549999999999999">
      <c r="A75" s="991"/>
      <c r="C75" s="1640"/>
      <c r="D75" s="1642"/>
      <c r="E75" s="550" t="str">
        <f>FHD_NUM_P_33</f>
        <v>2.13</v>
      </c>
      <c r="F75" s="1528" t="str">
        <f>FHD_P_33</f>
        <v>Прочие расходы, которые подлежат отнесению на регулируемые виды деятельности в соответствии с законодательством Российской Федерации</v>
      </c>
      <c r="G75" s="1883" t="s">
        <v>570</v>
      </c>
      <c r="H75" s="583">
        <f>SUM(H76:H84)</f>
        <v>0</v>
      </c>
      <c r="I75" s="583">
        <f>SUM(I76:I84)</f>
        <v>3053605.77223</v>
      </c>
      <c r="J75" s="583">
        <f>SUM(J76:J84)</f>
        <v>14447.3142</v>
      </c>
      <c r="K75" s="583">
        <f>SUM(K76:K84)</f>
        <v>1669.33244</v>
      </c>
      <c r="L75" s="583">
        <f>SUM(L76:L84)</f>
        <v>0</v>
      </c>
      <c r="M75" s="583">
        <f>SUM(M76:M84)</f>
        <v>27627.08348</v>
      </c>
      <c r="N75" s="583">
        <f>SUM(N76:N84)</f>
        <v>0</v>
      </c>
      <c r="O75" s="583">
        <f>SUM(O76:O84)</f>
        <v>145.30469</v>
      </c>
      <c r="P75" s="29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Q75" s="1640" t="str">
        <f>IF((LEN(E75)-LEN(SUBSTITUTE(E75,".","")))/LEN(".")=1,"p","")</f>
        <v>p</v>
      </c>
      <c r="R75" s="1640"/>
      <c r="S75" s="1640"/>
      <c r="X75" s="1640"/>
      <c r="AA75" s="548"/>
      <c r="AG75" s="1636"/>
      <c r="AH75" s="1636"/>
      <c r="AI75" s="1636"/>
      <c r="AJ75" s="1636"/>
      <c r="AK75" s="1636"/>
      <c r="AL75" s="1164">
        <v>11</v>
      </c>
    </row>
    <row s="1646" customFormat="1" customHeight="1" ht="1.05">
      <c r="A76" s="1171"/>
      <c r="D76" s="552"/>
      <c r="E76" s="1017" t="str">
        <f>E75&amp;".0"</f>
        <v>2.13.0</v>
      </c>
      <c r="F76" s="995"/>
      <c r="G76" s="1017"/>
      <c r="H76" s="996"/>
      <c r="I76" s="996"/>
      <c r="J76" s="996"/>
      <c r="K76" s="996"/>
      <c r="L76" s="996"/>
      <c r="M76" s="996"/>
      <c r="N76" s="996"/>
      <c r="O76" s="996"/>
      <c r="P76" s="997"/>
      <c r="Q76" s="1640" t="str">
        <f>IF((LEN(E76)-LEN(SUBSTITUTE(E76,".","")))/LEN(".")=1,"p","")</f>
        <v/>
      </c>
      <c r="AL76" s="1640">
        <v>1</v>
      </c>
    </row>
    <row s="1636" customFormat="1" customHeight="1" ht="22.5">
      <c r="A77" s="991"/>
      <c r="B77" s="1370"/>
      <c r="C77" s="1646"/>
      <c r="D77" s="687" t="s">
        <v>104</v>
      </c>
      <c r="E77" s="2370" t="str">
        <f>E75&amp;".1"</f>
        <v>2.13.1</v>
      </c>
      <c r="F77" s="544" t="s">
        <v>597</v>
      </c>
      <c r="G77" s="2370" t="s">
        <v>570</v>
      </c>
      <c r="H77" s="755"/>
      <c r="I77" s="755">
        <v>103183.35886</v>
      </c>
      <c r="J77" s="755">
        <v>12508.84342</v>
      </c>
      <c r="K77" s="755"/>
      <c r="L77" s="755"/>
      <c r="M77" s="755"/>
      <c r="N77" s="755"/>
      <c r="O77" s="755">
        <v>5.39846</v>
      </c>
      <c r="P77" s="546" t="s">
        <v>573</v>
      </c>
      <c r="Q77" s="738"/>
      <c r="R77" s="1646"/>
      <c r="S77" s="1646"/>
      <c r="T77" s="1370"/>
      <c r="U77" s="1370"/>
      <c r="V77" s="1370"/>
      <c r="W77" s="1370"/>
      <c r="X77" s="1646"/>
      <c r="Y77" s="1370"/>
      <c r="Z77" s="1370"/>
      <c r="AA77" s="740"/>
      <c r="AB77" s="1370"/>
      <c r="AC77" s="1370"/>
      <c r="AD77" s="1370"/>
      <c r="AE77" s="1370"/>
      <c r="AF77" s="1370"/>
      <c r="AG77" s="1636"/>
      <c r="AH77" s="1636"/>
      <c r="AI77" s="1636"/>
      <c r="AJ77" s="1636"/>
      <c r="AK77" s="1636"/>
      <c r="AL77" s="1370">
        <v>0</v>
      </c>
    </row>
    <row s="1636" customFormat="1" customHeight="1" ht="22.5">
      <c r="A78" s="991"/>
      <c r="B78" s="1370"/>
      <c r="C78" s="1646"/>
      <c r="D78" s="687" t="s">
        <v>104</v>
      </c>
      <c r="E78" s="2370" t="str">
        <f>E75&amp;".2"</f>
        <v>2.13.2</v>
      </c>
      <c r="F78" s="544" t="s">
        <v>598</v>
      </c>
      <c r="G78" s="2370" t="s">
        <v>570</v>
      </c>
      <c r="H78" s="755"/>
      <c r="I78" s="755">
        <v>621.6395</v>
      </c>
      <c r="J78" s="755">
        <v>16.02286</v>
      </c>
      <c r="K78" s="755"/>
      <c r="L78" s="755"/>
      <c r="M78" s="755"/>
      <c r="N78" s="755"/>
      <c r="O78" s="755">
        <v>0.02197</v>
      </c>
      <c r="P78" s="546" t="s">
        <v>573</v>
      </c>
      <c r="Q78" s="738"/>
      <c r="R78" s="1646"/>
      <c r="S78" s="1646"/>
      <c r="T78" s="1370"/>
      <c r="U78" s="1370"/>
      <c r="V78" s="1370"/>
      <c r="W78" s="1370"/>
      <c r="X78" s="1646"/>
      <c r="Y78" s="1370"/>
      <c r="Z78" s="1370"/>
      <c r="AA78" s="740"/>
      <c r="AB78" s="1370"/>
      <c r="AC78" s="1370"/>
      <c r="AD78" s="1370"/>
      <c r="AE78" s="1370"/>
      <c r="AF78" s="1370"/>
      <c r="AG78" s="1636"/>
      <c r="AH78" s="1636"/>
      <c r="AI78" s="1636"/>
      <c r="AJ78" s="1636"/>
      <c r="AK78" s="1636"/>
      <c r="AL78" s="1370">
        <v>0</v>
      </c>
    </row>
    <row s="1636" customFormat="1" customHeight="1" ht="22.5">
      <c r="A79" s="991"/>
      <c r="B79" s="1370"/>
      <c r="C79" s="1646"/>
      <c r="D79" s="687" t="s">
        <v>104</v>
      </c>
      <c r="E79" s="2370" t="str">
        <f>E75&amp;".3"</f>
        <v>2.13.3</v>
      </c>
      <c r="F79" s="544" t="s">
        <v>599</v>
      </c>
      <c r="G79" s="2370" t="s">
        <v>570</v>
      </c>
      <c r="H79" s="755"/>
      <c r="I79" s="755">
        <v>230762.9239</v>
      </c>
      <c r="J79" s="755">
        <v>230.07219</v>
      </c>
      <c r="K79" s="755"/>
      <c r="L79" s="755"/>
      <c r="M79" s="755"/>
      <c r="N79" s="755"/>
      <c r="O79" s="755"/>
      <c r="P79" s="546" t="s">
        <v>573</v>
      </c>
      <c r="Q79" s="738"/>
      <c r="R79" s="1646"/>
      <c r="S79" s="1646"/>
      <c r="T79" s="1370"/>
      <c r="U79" s="1370"/>
      <c r="V79" s="1370"/>
      <c r="W79" s="1370"/>
      <c r="X79" s="1646"/>
      <c r="Y79" s="1370"/>
      <c r="Z79" s="1370"/>
      <c r="AA79" s="740"/>
      <c r="AB79" s="1370"/>
      <c r="AC79" s="1370"/>
      <c r="AD79" s="1370"/>
      <c r="AE79" s="1370"/>
      <c r="AF79" s="1370"/>
      <c r="AG79" s="1636"/>
      <c r="AH79" s="1636"/>
      <c r="AI79" s="1636"/>
      <c r="AJ79" s="1636"/>
      <c r="AK79" s="1636"/>
      <c r="AL79" s="1370">
        <v>0</v>
      </c>
    </row>
    <row s="1636" customFormat="1" customHeight="1" ht="22.5">
      <c r="A80" s="991"/>
      <c r="B80" s="1370"/>
      <c r="C80" s="1646"/>
      <c r="D80" s="687" t="s">
        <v>104</v>
      </c>
      <c r="E80" s="2370" t="str">
        <f>E75&amp;".4"</f>
        <v>2.13.4</v>
      </c>
      <c r="F80" s="544" t="s">
        <v>600</v>
      </c>
      <c r="G80" s="2370" t="s">
        <v>570</v>
      </c>
      <c r="H80" s="755"/>
      <c r="I80" s="755">
        <v>126487.00184</v>
      </c>
      <c r="J80" s="755">
        <v>1656.45623</v>
      </c>
      <c r="K80" s="755">
        <v>51.865</v>
      </c>
      <c r="L80" s="755"/>
      <c r="M80" s="755"/>
      <c r="N80" s="755"/>
      <c r="O80" s="755">
        <v>8.86257</v>
      </c>
      <c r="P80" s="546" t="s">
        <v>573</v>
      </c>
      <c r="Q80" s="738"/>
      <c r="R80" s="1646"/>
      <c r="S80" s="1646"/>
      <c r="T80" s="1370"/>
      <c r="U80" s="1370"/>
      <c r="V80" s="1370"/>
      <c r="W80" s="1370"/>
      <c r="X80" s="1646"/>
      <c r="Y80" s="1370"/>
      <c r="Z80" s="1370"/>
      <c r="AA80" s="740"/>
      <c r="AB80" s="1370"/>
      <c r="AC80" s="1370"/>
      <c r="AD80" s="1370"/>
      <c r="AE80" s="1370"/>
      <c r="AF80" s="1370"/>
      <c r="AG80" s="1636"/>
      <c r="AH80" s="1636"/>
      <c r="AI80" s="1636"/>
      <c r="AJ80" s="1636"/>
      <c r="AK80" s="1636"/>
      <c r="AL80" s="1370">
        <v>0</v>
      </c>
    </row>
    <row s="1636" customFormat="1" customHeight="1" ht="22.5">
      <c r="A81" s="991"/>
      <c r="B81" s="1370"/>
      <c r="C81" s="1646"/>
      <c r="D81" s="687" t="s">
        <v>104</v>
      </c>
      <c r="E81" s="2370" t="str">
        <f>E75&amp;".5"</f>
        <v>2.13.5</v>
      </c>
      <c r="F81" s="544" t="s">
        <v>601</v>
      </c>
      <c r="G81" s="2370" t="s">
        <v>570</v>
      </c>
      <c r="H81" s="755"/>
      <c r="I81" s="755">
        <v>15962.51227</v>
      </c>
      <c r="J81" s="755"/>
      <c r="K81" s="755"/>
      <c r="L81" s="755"/>
      <c r="M81" s="755"/>
      <c r="N81" s="755"/>
      <c r="O81" s="755">
        <v>0.79293</v>
      </c>
      <c r="P81" s="546" t="s">
        <v>573</v>
      </c>
      <c r="Q81" s="738"/>
      <c r="R81" s="1646"/>
      <c r="S81" s="1646"/>
      <c r="T81" s="1370"/>
      <c r="U81" s="1370"/>
      <c r="V81" s="1370"/>
      <c r="W81" s="1370"/>
      <c r="X81" s="1646"/>
      <c r="Y81" s="1370"/>
      <c r="Z81" s="1370"/>
      <c r="AA81" s="740"/>
      <c r="AB81" s="1370"/>
      <c r="AC81" s="1370"/>
      <c r="AD81" s="1370"/>
      <c r="AE81" s="1370"/>
      <c r="AF81" s="1370"/>
      <c r="AG81" s="1636"/>
      <c r="AH81" s="1636"/>
      <c r="AI81" s="1636"/>
      <c r="AJ81" s="1636"/>
      <c r="AK81" s="1636"/>
      <c r="AL81" s="1370">
        <v>0</v>
      </c>
    </row>
    <row s="1636" customFormat="1" customHeight="1" ht="22.5">
      <c r="A82" s="991"/>
      <c r="B82" s="1370"/>
      <c r="C82" s="1646"/>
      <c r="D82" s="687" t="s">
        <v>104</v>
      </c>
      <c r="E82" s="2370" t="str">
        <f>E75&amp;".6"</f>
        <v>2.13.6</v>
      </c>
      <c r="F82" s="544" t="s">
        <v>602</v>
      </c>
      <c r="G82" s="2370" t="s">
        <v>570</v>
      </c>
      <c r="H82" s="755"/>
      <c r="I82" s="755">
        <v>84473.30333</v>
      </c>
      <c r="J82" s="755"/>
      <c r="K82" s="755"/>
      <c r="L82" s="755"/>
      <c r="M82" s="755"/>
      <c r="N82" s="755"/>
      <c r="O82" s="755"/>
      <c r="P82" s="546" t="s">
        <v>573</v>
      </c>
      <c r="Q82" s="738"/>
      <c r="R82" s="1646"/>
      <c r="S82" s="1646"/>
      <c r="T82" s="1370"/>
      <c r="U82" s="1370"/>
      <c r="V82" s="1370"/>
      <c r="W82" s="1370"/>
      <c r="X82" s="1646"/>
      <c r="Y82" s="1370"/>
      <c r="Z82" s="1370"/>
      <c r="AA82" s="740"/>
      <c r="AB82" s="1370"/>
      <c r="AC82" s="1370"/>
      <c r="AD82" s="1370"/>
      <c r="AE82" s="1370"/>
      <c r="AF82" s="1370"/>
      <c r="AG82" s="1636"/>
      <c r="AH82" s="1636"/>
      <c r="AI82" s="1636"/>
      <c r="AJ82" s="1636"/>
      <c r="AK82" s="1636"/>
      <c r="AL82" s="1370">
        <v>0</v>
      </c>
    </row>
    <row s="1636" customFormat="1" customHeight="1" ht="22.5">
      <c r="A83" s="991"/>
      <c r="B83" s="1370"/>
      <c r="C83" s="1646"/>
      <c r="D83" s="687" t="s">
        <v>104</v>
      </c>
      <c r="E83" s="2370" t="str">
        <f>E75&amp;".7"</f>
        <v>2.13.7</v>
      </c>
      <c r="F83" s="544" t="s">
        <v>603</v>
      </c>
      <c r="G83" s="2370" t="s">
        <v>570</v>
      </c>
      <c r="H83" s="755"/>
      <c r="I83" s="755">
        <f>39877.9907+1220.38017+2981247.65834+1612.67170+7459.30225-430897.00870-108405.96193</f>
        <v>2492115.03253</v>
      </c>
      <c r="J83" s="755">
        <f>35.9195</f>
        <v>35.9195</v>
      </c>
      <c r="K83" s="755">
        <f>10.48012+1606.98732</f>
        <v>1617.46744</v>
      </c>
      <c r="L83" s="755"/>
      <c r="M83" s="755">
        <v>27627.08348</v>
      </c>
      <c r="N83" s="755"/>
      <c r="O83" s="755">
        <f>1.98091+0.06385+148.09134+0.08011-13.45821-6.52924</f>
        <v>130.22876</v>
      </c>
      <c r="P83" s="546" t="s">
        <v>573</v>
      </c>
      <c r="Q83" s="738"/>
      <c r="R83" s="1646"/>
      <c r="S83" s="1646"/>
      <c r="T83" s="1370"/>
      <c r="U83" s="1370"/>
      <c r="V83" s="1370"/>
      <c r="W83" s="1370"/>
      <c r="X83" s="1646"/>
      <c r="Y83" s="1370"/>
      <c r="Z83" s="1370"/>
      <c r="AA83" s="740"/>
      <c r="AB83" s="1370"/>
      <c r="AC83" s="1370"/>
      <c r="AD83" s="1370"/>
      <c r="AE83" s="1370"/>
      <c r="AF83" s="1370"/>
      <c r="AG83" s="1636"/>
      <c r="AH83" s="1636"/>
      <c r="AI83" s="1636"/>
      <c r="AJ83" s="1636"/>
      <c r="AK83" s="1636"/>
      <c r="AL83" s="1370">
        <v>0</v>
      </c>
    </row>
    <row s="1370" customFormat="1" customHeight="1" ht="14.699999999999998">
      <c r="A84" s="991"/>
      <c r="C84" s="1640"/>
      <c r="D84" s="1637"/>
      <c r="E84" s="574"/>
      <c r="F84" s="575" t="s">
        <v>604</v>
      </c>
      <c r="G84" s="576"/>
      <c r="H84" s="577"/>
      <c r="I84" s="577"/>
      <c r="J84" s="2650"/>
      <c r="K84" s="2651"/>
      <c r="L84" s="2652"/>
      <c r="M84" s="2653"/>
      <c r="N84" s="2654"/>
      <c r="O84" s="2655"/>
      <c r="P84" s="305"/>
      <c r="Q84" s="1640"/>
      <c r="R84" s="1640"/>
      <c r="S84" s="1640"/>
      <c r="X84" s="1640"/>
      <c r="AA84" s="548"/>
      <c r="AG84" s="1636"/>
      <c r="AH84" s="1636"/>
      <c r="AI84" s="1636"/>
      <c r="AJ84" s="1636"/>
      <c r="AK84" s="1636"/>
      <c r="AL84" s="1164">
        <v>14</v>
      </c>
    </row>
    <row s="1370" customFormat="1" customHeight="1" ht="25.5">
      <c r="A85" s="993" t="s">
        <v>605</v>
      </c>
      <c r="C85" s="1640"/>
      <c r="D85" s="1642"/>
      <c r="E85" s="550" t="str">
        <f>FHD_NUM_P_34</f>
        <v>3</v>
      </c>
      <c r="F85" s="1884" t="str">
        <f>FHD_P_34</f>
        <v>Валовая прибыль (убытки) от реализации товаров и оказания услуг по регулируемому виду деятельности</v>
      </c>
      <c r="G85" s="1882" t="s">
        <v>570</v>
      </c>
      <c r="H85" s="561"/>
      <c r="I85" s="561">
        <f>I30-I31+I77+I79+I80+I81+I82+I83</f>
        <v>1151887.3966465</v>
      </c>
      <c r="J85" s="561">
        <f>J30-J31+J77+J79+J80+J81+J82+J83</f>
        <v>-15959.17319</v>
      </c>
      <c r="K85" s="561">
        <f>K30-K31+K77+K79+K80+K81+K82+K83</f>
        <v>8097.28172</v>
      </c>
      <c r="L85" s="561">
        <f>L30-L31+L77+L79+L80+L81+L82+L83</f>
        <v>0</v>
      </c>
      <c r="M85" s="561">
        <f>M30-M31+M77+M79+M80+M81+M82+M83</f>
        <v>138135.41741</v>
      </c>
      <c r="N85" s="561">
        <f>N30-N31+N77+N79+N80+N81+N82+N83</f>
        <v>-821.58925</v>
      </c>
      <c r="O85" s="561">
        <f>O30-O31+O77+O79+O80+O81+O82+O83</f>
        <v>30.7804700000001</v>
      </c>
      <c r="P85" s="293" t="str">
        <f>FHD_NOTE_P_34</f>
        <v/>
      </c>
      <c r="Q85" s="547"/>
      <c r="R85" s="1640"/>
      <c r="S85" s="1640"/>
      <c r="X85" s="1640"/>
      <c r="AA85" s="548"/>
      <c r="AG85" s="1636"/>
      <c r="AH85" s="1636"/>
      <c r="AI85" s="1636"/>
      <c r="AJ85" s="1636"/>
      <c r="AK85" s="1636"/>
      <c r="AL85" s="1164">
        <v>0</v>
      </c>
    </row>
    <row s="1370" customFormat="1" customHeight="1" ht="35.25">
      <c r="A86" s="991"/>
      <c r="C86" s="1640"/>
      <c r="D86" s="579"/>
      <c r="E86" s="550" t="str">
        <f>FHD_NUM_P_35</f>
        <v>4</v>
      </c>
      <c r="F86" s="1884" t="str">
        <f>FHD_P_35</f>
        <v>Чистая прибыль, полученная от регулируемого вида деятельности, в том числе:</v>
      </c>
      <c r="G86" s="1882" t="s">
        <v>570</v>
      </c>
      <c r="H86" s="561"/>
      <c r="I86" s="561">
        <f>I85-I83-I82-I81-I80-I79-I77</f>
        <v>-1901096.7360835</v>
      </c>
      <c r="J86" s="561">
        <f>J85-J83-J82-J81-J80-J79-J77+27213.59254+615.49611</f>
        <v>-2561.37588</v>
      </c>
      <c r="K86" s="561">
        <f>K85-K83-K80</f>
        <v>6427.94928</v>
      </c>
      <c r="L86" s="561">
        <v>0</v>
      </c>
      <c r="M86" s="561">
        <f>M85-M83</f>
        <v>110508.33393</v>
      </c>
      <c r="N86" s="561">
        <f>N85+164.31785</f>
        <v>-657.2714</v>
      </c>
      <c r="O86" s="561">
        <f>O85-O83-O82-O81-O80-O79-O77</f>
        <v>-114.50225</v>
      </c>
      <c r="P86" s="293" t="str">
        <f>FHD_NOTE_P_35</f>
        <v>Указывается общая сумма чистой прибыли, полученной от регулируемого вида деятельности.</v>
      </c>
      <c r="Q86" s="547"/>
      <c r="R86" s="1640"/>
      <c r="S86" s="1640"/>
      <c r="X86" s="1640"/>
      <c r="AA86" s="548"/>
      <c r="AG86" s="1636"/>
      <c r="AH86" s="1636"/>
      <c r="AI86" s="1636"/>
      <c r="AJ86" s="1636"/>
      <c r="AK86" s="1636"/>
      <c r="AL86" s="1164">
        <v>19</v>
      </c>
    </row>
    <row s="1370" customFormat="1" customHeight="1" ht="33">
      <c r="A87" s="991"/>
      <c r="C87" s="1640"/>
      <c r="D87" s="1642"/>
      <c r="E87" s="550" t="str">
        <f>FHD_NUM_P_36</f>
        <v>4.1</v>
      </c>
      <c r="F87" s="1528" t="str">
        <f>FHD_P_36</f>
        <v>Размер расходования чистой прибыли на финансирование мероприятий, предусмотренных инвестиционной программой регулируемой организации</v>
      </c>
      <c r="G87" s="1882" t="s">
        <v>570</v>
      </c>
      <c r="H87" s="561"/>
      <c r="I87" s="561">
        <v>73617</v>
      </c>
      <c r="J87" s="561">
        <v>2949.895</v>
      </c>
      <c r="K87" s="561">
        <v>0</v>
      </c>
      <c r="L87" s="561">
        <v>0</v>
      </c>
      <c r="M87" s="561">
        <v>105685.14575</v>
      </c>
      <c r="N87" s="561">
        <v>0</v>
      </c>
      <c r="O87" s="561">
        <v>0</v>
      </c>
      <c r="P87" s="293" t="str">
        <f>FHD_NOTE_P_36</f>
        <v/>
      </c>
      <c r="Q87" s="547"/>
      <c r="R87" s="1640"/>
      <c r="S87" s="1640"/>
      <c r="X87" s="1640"/>
      <c r="AA87" s="548"/>
      <c r="AG87" s="1636"/>
      <c r="AH87" s="1636"/>
      <c r="AI87" s="1636"/>
      <c r="AJ87" s="1636"/>
      <c r="AK87" s="1636"/>
      <c r="AL87" s="1164">
        <v>19</v>
      </c>
    </row>
    <row s="1370" customFormat="1" customHeight="1" ht="20.25">
      <c r="A88" s="991"/>
      <c r="C88" s="1640"/>
      <c r="D88" s="1642"/>
      <c r="E88" s="550" t="str">
        <f>FHD_NUM_P_37</f>
        <v>5</v>
      </c>
      <c r="F88" s="1884" t="str">
        <f>FHD_P_37</f>
        <v>Изменение стоимости основных фондов, в том числе:</v>
      </c>
      <c r="G88" s="1882" t="s">
        <v>570</v>
      </c>
      <c r="H88" s="561"/>
      <c r="I88" s="561">
        <v>-821397</v>
      </c>
      <c r="J88" s="561">
        <v>3613</v>
      </c>
      <c r="K88" s="561">
        <v>1432</v>
      </c>
      <c r="L88" s="561">
        <v>0</v>
      </c>
      <c r="M88" s="561">
        <v>0</v>
      </c>
      <c r="N88" s="561">
        <v>0</v>
      </c>
      <c r="O88" s="561">
        <v>0</v>
      </c>
      <c r="P88" s="293" t="str">
        <f>FHD_NOTE_P_37</f>
        <v>Указывается общее изменение стоимости основных фондов.</v>
      </c>
      <c r="Q88" s="547"/>
      <c r="R88" s="1640"/>
      <c r="S88" s="1640"/>
      <c r="X88" s="1640"/>
      <c r="AA88" s="548"/>
      <c r="AG88" s="1636"/>
      <c r="AH88" s="1636"/>
      <c r="AI88" s="1636"/>
      <c r="AJ88" s="1636"/>
      <c r="AK88" s="1636"/>
      <c r="AL88" s="1164">
        <v>19</v>
      </c>
    </row>
    <row s="1370" customFormat="1" customHeight="1" ht="20.25">
      <c r="A89" s="991"/>
      <c r="C89" s="1640"/>
      <c r="D89" s="1642"/>
      <c r="E89" s="550" t="str">
        <f>FHD_NUM_P_38</f>
        <v>5.1</v>
      </c>
      <c r="F89" s="1528" t="str">
        <f>FHD_P_38</f>
        <v>Изменение стоимости основных фондов за счет:</v>
      </c>
      <c r="G89" s="1882" t="s">
        <v>570</v>
      </c>
      <c r="H89" s="561"/>
      <c r="I89" s="561">
        <v>-821397</v>
      </c>
      <c r="J89" s="561">
        <v>3613</v>
      </c>
      <c r="K89" s="561">
        <v>1432</v>
      </c>
      <c r="L89" s="561">
        <v>0</v>
      </c>
      <c r="M89" s="561">
        <v>0</v>
      </c>
      <c r="N89" s="561">
        <v>0</v>
      </c>
      <c r="O89" s="561">
        <v>0</v>
      </c>
      <c r="P89" s="293" t="str">
        <f>FHD_NOTE_P_38</f>
        <v>Указываются общее изменение стоимости основных фондов за счет их ввода в эксплуатацию и вывода из эксплуатации.</v>
      </c>
      <c r="Q89" s="547"/>
      <c r="R89" s="1640"/>
      <c r="S89" s="1640"/>
      <c r="X89" s="1640"/>
      <c r="AA89" s="548"/>
      <c r="AG89" s="1636"/>
      <c r="AH89" s="1636"/>
      <c r="AI89" s="1636"/>
      <c r="AJ89" s="1636"/>
      <c r="AK89" s="1636"/>
      <c r="AL89" s="1164">
        <v>19</v>
      </c>
    </row>
    <row s="1370" customFormat="1" customHeight="1" ht="20.25">
      <c r="A90" s="991"/>
      <c r="C90" s="1640"/>
      <c r="D90" s="1642"/>
      <c r="E90" s="550" t="str">
        <f>FHD_NUM_P_39</f>
        <v>5.1.1</v>
      </c>
      <c r="F90" s="1654" t="str">
        <f>FHD_P_39</f>
        <v>Изменения стоимости основных фондов за счет их ввода в эксплуатацию</v>
      </c>
      <c r="G90" s="2076" t="s">
        <v>570</v>
      </c>
      <c r="H90" s="561"/>
      <c r="I90" s="561">
        <v>9367461</v>
      </c>
      <c r="J90" s="561">
        <v>3613</v>
      </c>
      <c r="K90" s="561">
        <v>1432</v>
      </c>
      <c r="L90" s="561">
        <v>0</v>
      </c>
      <c r="M90" s="561">
        <v>0</v>
      </c>
      <c r="N90" s="561">
        <v>0</v>
      </c>
      <c r="O90" s="561">
        <v>0</v>
      </c>
      <c r="P90" s="293" t="str">
        <f>FHD_NOTE_P_39</f>
        <v>Указываются изменение стоимости основных фондов за счет их ввода в эксплуатацию.</v>
      </c>
      <c r="Q90" s="547"/>
      <c r="R90" s="1640"/>
      <c r="S90" s="1640"/>
      <c r="X90" s="1640"/>
      <c r="AA90" s="548"/>
      <c r="AG90" s="1636"/>
      <c r="AH90" s="1636"/>
      <c r="AI90" s="1636"/>
      <c r="AJ90" s="1636"/>
      <c r="AK90" s="1636"/>
      <c r="AL90" s="1164">
        <v>19</v>
      </c>
    </row>
    <row s="1370" customFormat="1" customHeight="1" ht="20.25">
      <c r="A91" s="991"/>
      <c r="C91" s="1640"/>
      <c r="D91" s="1642"/>
      <c r="E91" s="550" t="str">
        <f>FHD_NUM_P_40</f>
        <v>5.1.2</v>
      </c>
      <c r="F91" s="2080" t="str">
        <f>FHD_P_40</f>
        <v>Изменения стоимости основных фондов за счет их вывода в эксплуатацию</v>
      </c>
      <c r="G91" s="2075" t="s">
        <v>570</v>
      </c>
      <c r="H91" s="980"/>
      <c r="I91" s="561">
        <v>10188858</v>
      </c>
      <c r="J91" s="980">
        <v>0</v>
      </c>
      <c r="K91" s="980">
        <v>0</v>
      </c>
      <c r="L91" s="980">
        <v>0</v>
      </c>
      <c r="M91" s="980">
        <v>0</v>
      </c>
      <c r="N91" s="980">
        <v>0</v>
      </c>
      <c r="O91" s="980">
        <v>0</v>
      </c>
      <c r="P91" s="293" t="str">
        <f>FHD_NOTE_P_40</f>
        <v>Указываются изменение стоимости основных фондов за счет их вывода из эксплуатации.</v>
      </c>
      <c r="Q91" s="547"/>
      <c r="R91" s="1640"/>
      <c r="S91" s="1640"/>
      <c r="X91" s="1640"/>
      <c r="AA91" s="548"/>
      <c r="AG91" s="1636"/>
      <c r="AH91" s="1636"/>
      <c r="AI91" s="1636"/>
      <c r="AJ91" s="1636"/>
      <c r="AK91" s="1636"/>
      <c r="AL91" s="1164">
        <v>19</v>
      </c>
    </row>
    <row s="1370" customFormat="1" customHeight="1" ht="19.95">
      <c r="A92" s="991"/>
      <c r="C92" s="1640"/>
      <c r="D92" s="1642"/>
      <c r="E92" s="550" t="str">
        <f>FHD_NUM_P_41</f>
        <v>5.2</v>
      </c>
      <c r="F92" s="2079" t="str">
        <f>FHD_P_41</f>
        <v>Изменение стоимости основных фондов за счет их переоценки</v>
      </c>
      <c r="G92" s="2075" t="s">
        <v>570</v>
      </c>
      <c r="H92" s="980"/>
      <c r="I92" s="561">
        <v>0</v>
      </c>
      <c r="J92" s="980">
        <v>0</v>
      </c>
      <c r="K92" s="980">
        <v>0</v>
      </c>
      <c r="L92" s="980">
        <v>0</v>
      </c>
      <c r="M92" s="980">
        <v>0</v>
      </c>
      <c r="N92" s="980">
        <v>0</v>
      </c>
      <c r="O92" s="980">
        <v>0</v>
      </c>
      <c r="P92" s="293" t="str">
        <f>FHD_NOTE_P_41</f>
        <v/>
      </c>
      <c r="Q92" s="547"/>
      <c r="R92" s="1640"/>
      <c r="S92" s="1640"/>
      <c r="X92" s="1640"/>
      <c r="AA92" s="548"/>
      <c r="AG92" s="1636"/>
      <c r="AH92" s="1636"/>
      <c r="AI92" s="1636"/>
      <c r="AJ92" s="1636"/>
      <c r="AK92" s="1636"/>
      <c r="AL92" s="1164">
        <v>19</v>
      </c>
    </row>
    <row s="1370" customFormat="1" customHeight="1" ht="20.25" hidden="1">
      <c r="A93" s="993" t="s">
        <v>606</v>
      </c>
      <c r="C93" s="1640"/>
      <c r="D93" s="1642"/>
      <c r="E93" s="550" t="str">
        <f>FHD_NUM_P_42</f>
        <v/>
      </c>
      <c r="F93" s="2077" t="str">
        <f>FHD_P_42</f>
        <v/>
      </c>
      <c r="G93" s="2075" t="s">
        <v>570</v>
      </c>
      <c r="H93" s="980"/>
      <c r="I93" s="561"/>
      <c r="J93" s="980"/>
      <c r="K93" s="980"/>
      <c r="L93" s="980"/>
      <c r="M93" s="980"/>
      <c r="N93" s="980"/>
      <c r="O93" s="980"/>
      <c r="P93" s="293" t="str">
        <f>FHD_NOTE_P_42</f>
        <v/>
      </c>
      <c r="Q93" s="547"/>
      <c r="R93" s="1640"/>
      <c r="S93" s="1640"/>
      <c r="X93" s="1640"/>
      <c r="AA93" s="548"/>
      <c r="AG93" s="1636"/>
      <c r="AH93" s="1636"/>
      <c r="AI93" s="1636"/>
      <c r="AJ93" s="1636"/>
      <c r="AK93" s="1636"/>
      <c r="AL93" s="1164">
        <v>19</v>
      </c>
    </row>
    <row s="1370" customFormat="1" customHeight="1" ht="43.5">
      <c r="A94" s="991"/>
      <c r="C94" s="1640"/>
      <c r="D94" s="1642"/>
      <c r="E94" s="550" t="str">
        <f>FHD_NUM_P_43</f>
        <v>6</v>
      </c>
      <c r="F94" s="1884" t="str">
        <f>FHD_P_43</f>
        <v>Годовая бухгалтерская (финансовая) отчетность, включая бухгалтерский баланс и приложения к нему</v>
      </c>
      <c r="G94" s="2078" t="s">
        <v>324</v>
      </c>
      <c r="H94" s="2656"/>
      <c r="I94" s="2757" t="s">
        <v>607</v>
      </c>
      <c r="J94" s="2656" t="s">
        <v>607</v>
      </c>
      <c r="K94" s="2758" t="s">
        <v>607</v>
      </c>
      <c r="L94" s="2758" t="s">
        <v>607</v>
      </c>
      <c r="M94" s="2758" t="s">
        <v>607</v>
      </c>
      <c r="N94" s="2758" t="s">
        <v>607</v>
      </c>
      <c r="O94" s="2758" t="s">
        <v>607</v>
      </c>
      <c r="P94" s="293"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Q94" s="547"/>
      <c r="R94" s="1640"/>
      <c r="S94" s="1640"/>
      <c r="X94" s="1640"/>
      <c r="AA94" s="548"/>
      <c r="AG94" s="1636"/>
      <c r="AH94" s="1636"/>
      <c r="AI94" s="1636"/>
      <c r="AJ94" s="1636"/>
      <c r="AK94" s="1636"/>
      <c r="AL94" s="1164">
        <v>19</v>
      </c>
    </row>
    <row s="1370" customFormat="1" customHeight="1" ht="18.75" hidden="1">
      <c r="A95" s="2375" t="s">
        <v>608</v>
      </c>
      <c r="C95" s="739"/>
      <c r="D95" s="737"/>
      <c r="E95" s="550" t="str">
        <f>FHD_NUM_P_44</f>
        <v/>
      </c>
      <c r="F95" s="1884" t="str">
        <f>FHD_P_44</f>
        <v/>
      </c>
      <c r="G95" s="1885" t="s">
        <v>609</v>
      </c>
      <c r="H95" s="981"/>
      <c r="I95" s="581"/>
      <c r="J95" s="981"/>
      <c r="K95" s="981"/>
      <c r="L95" s="981"/>
      <c r="M95" s="981"/>
      <c r="N95" s="981"/>
      <c r="O95" s="981"/>
      <c r="P95" s="293" t="str">
        <f>FHD_NOTE_P_44</f>
        <v/>
      </c>
      <c r="Q95" s="738"/>
      <c r="R95" s="739"/>
      <c r="S95" s="739"/>
      <c r="X95" s="739"/>
      <c r="AA95" s="740"/>
      <c r="AG95" s="741"/>
      <c r="AH95" s="741"/>
      <c r="AI95" s="741"/>
      <c r="AJ95" s="741"/>
      <c r="AK95" s="741"/>
      <c r="AL95" s="914">
        <v>0</v>
      </c>
    </row>
    <row s="1370" customFormat="1" customHeight="1" ht="18.75" hidden="1">
      <c r="A96" s="2375"/>
      <c r="C96" s="739"/>
      <c r="D96" s="737"/>
      <c r="E96" s="550" t="str">
        <f>FHD_NUM_P_45</f>
        <v/>
      </c>
      <c r="F96" s="1884" t="str">
        <f>FHD_P_45</f>
        <v/>
      </c>
      <c r="G96" s="1885" t="s">
        <v>609</v>
      </c>
      <c r="H96" s="981"/>
      <c r="I96" s="581"/>
      <c r="J96" s="981"/>
      <c r="K96" s="981"/>
      <c r="L96" s="981"/>
      <c r="M96" s="981"/>
      <c r="N96" s="981"/>
      <c r="O96" s="981"/>
      <c r="P96" s="293" t="str">
        <f>FHD_NOTE_P_45</f>
        <v/>
      </c>
      <c r="Q96" s="738"/>
      <c r="R96" s="739"/>
      <c r="S96" s="739"/>
      <c r="X96" s="739"/>
      <c r="AA96" s="740"/>
      <c r="AG96" s="741"/>
      <c r="AH96" s="741"/>
      <c r="AI96" s="741"/>
      <c r="AJ96" s="741"/>
      <c r="AK96" s="741"/>
      <c r="AL96" s="914">
        <v>0</v>
      </c>
    </row>
    <row s="1370" customFormat="1" customHeight="1" ht="18.75" hidden="1">
      <c r="A97" s="2375"/>
      <c r="C97" s="739"/>
      <c r="D97" s="742"/>
      <c r="E97" s="550" t="str">
        <f>FHD_NUM_P_46</f>
        <v/>
      </c>
      <c r="F97" s="1884" t="str">
        <f>FHD_P_46</f>
        <v/>
      </c>
      <c r="G97" s="1885" t="s">
        <v>609</v>
      </c>
      <c r="H97" s="981"/>
      <c r="I97" s="581"/>
      <c r="J97" s="981"/>
      <c r="K97" s="981"/>
      <c r="L97" s="981"/>
      <c r="M97" s="981"/>
      <c r="N97" s="981"/>
      <c r="O97" s="981"/>
      <c r="P97" s="293" t="str">
        <f>FHD_NOTE_P_46</f>
        <v/>
      </c>
      <c r="Q97" s="738"/>
      <c r="R97" s="739"/>
      <c r="S97" s="739"/>
      <c r="X97" s="739"/>
      <c r="AA97" s="740"/>
      <c r="AG97" s="741"/>
      <c r="AH97" s="741"/>
      <c r="AI97" s="741"/>
      <c r="AJ97" s="741"/>
      <c r="AK97" s="741"/>
      <c r="AL97" s="914">
        <v>0</v>
      </c>
    </row>
    <row s="1370" customFormat="1" customHeight="1" ht="18.75" hidden="1">
      <c r="A98" s="2375"/>
      <c r="C98" s="739"/>
      <c r="D98" s="737"/>
      <c r="E98" s="550" t="str">
        <f>FHD_NUM_P_47</f>
        <v/>
      </c>
      <c r="F98" s="1884" t="str">
        <f>FHD_P_47</f>
        <v/>
      </c>
      <c r="G98" s="1885" t="s">
        <v>609</v>
      </c>
      <c r="H98" s="981"/>
      <c r="I98" s="581"/>
      <c r="J98" s="981"/>
      <c r="K98" s="981"/>
      <c r="L98" s="981"/>
      <c r="M98" s="981"/>
      <c r="N98" s="981"/>
      <c r="O98" s="981"/>
      <c r="P98" s="293" t="str">
        <f>FHD_NOTE_P_47</f>
        <v/>
      </c>
      <c r="Q98" s="738"/>
      <c r="R98" s="739"/>
      <c r="S98" s="739"/>
      <c r="X98" s="739"/>
      <c r="AA98" s="740"/>
      <c r="AG98" s="741"/>
      <c r="AH98" s="741"/>
      <c r="AI98" s="741"/>
      <c r="AJ98" s="741"/>
      <c r="AK98" s="741"/>
      <c r="AL98" s="914">
        <v>0</v>
      </c>
    </row>
    <row s="1639" customFormat="1" customHeight="1" ht="18.75" hidden="1">
      <c r="A99" s="2375"/>
      <c r="B99" s="914"/>
      <c r="C99" s="739"/>
      <c r="D99" s="737"/>
      <c r="E99" s="550" t="str">
        <f>FHD_NUM_P_48</f>
        <v/>
      </c>
      <c r="F99" s="1884" t="str">
        <f>FHD_P_48</f>
        <v/>
      </c>
      <c r="G99" s="1885" t="s">
        <v>609</v>
      </c>
      <c r="H99" s="981"/>
      <c r="I99" s="581"/>
      <c r="J99" s="981"/>
      <c r="K99" s="981"/>
      <c r="L99" s="981"/>
      <c r="M99" s="981"/>
      <c r="N99" s="981"/>
      <c r="O99" s="981"/>
      <c r="P99" s="293" t="str">
        <f>FHD_NOTE_P_48</f>
        <v/>
      </c>
      <c r="Q99" s="738"/>
      <c r="R99" s="739"/>
      <c r="S99" s="739"/>
      <c r="T99" s="914"/>
      <c r="U99" s="914"/>
      <c r="V99" s="914"/>
      <c r="W99" s="914"/>
      <c r="X99" s="739"/>
      <c r="Y99" s="914"/>
      <c r="Z99" s="914"/>
      <c r="AA99" s="740"/>
      <c r="AB99" s="914"/>
      <c r="AC99" s="914"/>
      <c r="AD99" s="914"/>
      <c r="AE99" s="914"/>
      <c r="AF99" s="914"/>
      <c r="AG99" s="741"/>
      <c r="AH99" s="741"/>
      <c r="AI99" s="741"/>
      <c r="AJ99" s="741"/>
      <c r="AK99" s="741"/>
      <c r="AL99" s="743">
        <v>0</v>
      </c>
    </row>
    <row s="1639" customFormat="1" customHeight="1" ht="18.75" hidden="1">
      <c r="A100" s="2375"/>
      <c r="B100" s="914"/>
      <c r="C100" s="739"/>
      <c r="D100" s="737"/>
      <c r="E100" s="550" t="str">
        <f>FHD_NUM_P_49</f>
        <v/>
      </c>
      <c r="F100" s="1884" t="str">
        <f>FHD_P_49</f>
        <v/>
      </c>
      <c r="G100" s="1885" t="s">
        <v>609</v>
      </c>
      <c r="H100" s="982">
        <f>SUM(H101:H102)</f>
        <v>0</v>
      </c>
      <c r="I100" s="753">
        <f>SUM(I101:I102)</f>
        <v>0</v>
      </c>
      <c r="J100" s="982">
        <f>SUM(J101:J102)</f>
        <v>0</v>
      </c>
      <c r="K100" s="982">
        <f>SUM(K101:K102)</f>
        <v>0</v>
      </c>
      <c r="L100" s="982">
        <f>SUM(L101:L102)</f>
        <v>0</v>
      </c>
      <c r="M100" s="982">
        <f>SUM(M101:M102)</f>
        <v>0</v>
      </c>
      <c r="N100" s="982">
        <f>SUM(N101:N102)</f>
        <v>0</v>
      </c>
      <c r="O100" s="982">
        <f>SUM(O101:O102)</f>
        <v>0</v>
      </c>
      <c r="P100" s="293" t="str">
        <f>FHD_NOTE_P_49</f>
        <v/>
      </c>
      <c r="Q100" s="738"/>
      <c r="R100" s="739"/>
      <c r="S100" s="739"/>
      <c r="T100" s="914"/>
      <c r="U100" s="914"/>
      <c r="V100" s="914"/>
      <c r="W100" s="914"/>
      <c r="X100" s="739"/>
      <c r="Y100" s="914"/>
      <c r="Z100" s="914"/>
      <c r="AA100" s="740"/>
      <c r="AB100" s="914"/>
      <c r="AC100" s="914"/>
      <c r="AD100" s="914"/>
      <c r="AE100" s="914"/>
      <c r="AF100" s="914"/>
      <c r="AG100" s="741"/>
      <c r="AH100" s="741"/>
      <c r="AI100" s="741"/>
      <c r="AJ100" s="741"/>
      <c r="AK100" s="741"/>
      <c r="AL100" s="743">
        <v>0</v>
      </c>
    </row>
    <row s="1639" customFormat="1" customHeight="1" ht="18.75" hidden="1">
      <c r="A101" s="2375"/>
      <c r="B101" s="914"/>
      <c r="C101" s="739"/>
      <c r="D101" s="737"/>
      <c r="E101" s="550" t="str">
        <f>FHD_NUM_P_50</f>
        <v/>
      </c>
      <c r="F101" s="1884" t="str">
        <f>FHD_P_50</f>
        <v/>
      </c>
      <c r="G101" s="1885" t="s">
        <v>609</v>
      </c>
      <c r="H101" s="981"/>
      <c r="I101" s="581"/>
      <c r="J101" s="981"/>
      <c r="K101" s="981"/>
      <c r="L101" s="981"/>
      <c r="M101" s="981"/>
      <c r="N101" s="981"/>
      <c r="O101" s="981"/>
      <c r="P101" s="293" t="str">
        <f>FHD_NOTE_P_50</f>
        <v/>
      </c>
      <c r="Q101" s="738"/>
      <c r="R101" s="739"/>
      <c r="S101" s="739"/>
      <c r="T101" s="914"/>
      <c r="U101" s="914"/>
      <c r="V101" s="914"/>
      <c r="W101" s="914"/>
      <c r="X101" s="739"/>
      <c r="Y101" s="914"/>
      <c r="Z101" s="914"/>
      <c r="AA101" s="740"/>
      <c r="AB101" s="914"/>
      <c r="AC101" s="914"/>
      <c r="AD101" s="914"/>
      <c r="AE101" s="914"/>
      <c r="AF101" s="914"/>
      <c r="AG101" s="741"/>
      <c r="AH101" s="741"/>
      <c r="AI101" s="741"/>
      <c r="AJ101" s="741"/>
      <c r="AK101" s="741"/>
      <c r="AL101" s="743">
        <v>0</v>
      </c>
    </row>
    <row s="1639" customFormat="1" customHeight="1" ht="18.75" hidden="1">
      <c r="A102" s="2375"/>
      <c r="B102" s="914"/>
      <c r="C102" s="739"/>
      <c r="D102" s="737"/>
      <c r="E102" s="550" t="str">
        <f>FHD_NUM_P_51</f>
        <v/>
      </c>
      <c r="F102" s="1884" t="str">
        <f>FHD_P_51</f>
        <v/>
      </c>
      <c r="G102" s="1885" t="s">
        <v>609</v>
      </c>
      <c r="H102" s="981"/>
      <c r="I102" s="581"/>
      <c r="J102" s="981"/>
      <c r="K102" s="981"/>
      <c r="L102" s="981"/>
      <c r="M102" s="981"/>
      <c r="N102" s="981"/>
      <c r="O102" s="981"/>
      <c r="P102" s="293" t="str">
        <f>FHD_NOTE_P_51</f>
        <v/>
      </c>
      <c r="Q102" s="738"/>
      <c r="R102" s="739"/>
      <c r="S102" s="739"/>
      <c r="T102" s="914"/>
      <c r="U102" s="914"/>
      <c r="V102" s="914"/>
      <c r="W102" s="914"/>
      <c r="X102" s="739"/>
      <c r="Y102" s="914"/>
      <c r="Z102" s="914"/>
      <c r="AA102" s="740"/>
      <c r="AB102" s="914"/>
      <c r="AC102" s="914"/>
      <c r="AD102" s="914"/>
      <c r="AE102" s="914"/>
      <c r="AF102" s="914"/>
      <c r="AG102" s="741"/>
      <c r="AH102" s="741"/>
      <c r="AI102" s="741"/>
      <c r="AJ102" s="741"/>
      <c r="AK102" s="741"/>
      <c r="AL102" s="743">
        <v>0</v>
      </c>
    </row>
    <row s="1639" customFormat="1" customHeight="1" ht="18.75" hidden="1">
      <c r="A103" s="2375"/>
      <c r="B103" s="914"/>
      <c r="C103" s="739"/>
      <c r="D103" s="737"/>
      <c r="E103" s="550" t="str">
        <f>FHD_NUM_P_52</f>
        <v/>
      </c>
      <c r="F103" s="1884" t="str">
        <f>FHD_P_52</f>
        <v/>
      </c>
      <c r="G103" s="1885" t="s">
        <v>576</v>
      </c>
      <c r="H103" s="980"/>
      <c r="I103" s="561"/>
      <c r="J103" s="980"/>
      <c r="K103" s="980"/>
      <c r="L103" s="980"/>
      <c r="M103" s="980"/>
      <c r="N103" s="980"/>
      <c r="O103" s="980"/>
      <c r="P103" s="293" t="str">
        <f>FHD_NOTE_P_52</f>
        <v/>
      </c>
      <c r="Q103" s="738"/>
      <c r="R103" s="739"/>
      <c r="S103" s="739"/>
      <c r="T103" s="914"/>
      <c r="U103" s="914"/>
      <c r="V103" s="914"/>
      <c r="W103" s="914"/>
      <c r="X103" s="739"/>
      <c r="Y103" s="914"/>
      <c r="Z103" s="914"/>
      <c r="AA103" s="740"/>
      <c r="AB103" s="914"/>
      <c r="AC103" s="914"/>
      <c r="AD103" s="914"/>
      <c r="AE103" s="914"/>
      <c r="AF103" s="914"/>
      <c r="AG103" s="741"/>
      <c r="AH103" s="741"/>
      <c r="AI103" s="741"/>
      <c r="AJ103" s="741"/>
      <c r="AK103" s="741"/>
      <c r="AL103" s="743">
        <v>0</v>
      </c>
    </row>
    <row s="1370" customFormat="1" customHeight="1" ht="18.75" hidden="1">
      <c r="A104" s="2377" t="s">
        <v>610</v>
      </c>
      <c r="C104" s="739"/>
      <c r="D104" s="737"/>
      <c r="E104" s="550" t="str">
        <f>FHD_NUM_P_53</f>
        <v/>
      </c>
      <c r="F104" s="1884" t="str">
        <f>FHD_P_53</f>
        <v/>
      </c>
      <c r="G104" s="1885" t="s">
        <v>609</v>
      </c>
      <c r="H104" s="981"/>
      <c r="I104" s="581"/>
      <c r="J104" s="981"/>
      <c r="K104" s="981"/>
      <c r="L104" s="981"/>
      <c r="M104" s="981"/>
      <c r="N104" s="981"/>
      <c r="O104" s="981"/>
      <c r="P104" s="293" t="str">
        <f>FHD_NOTE_P_53</f>
        <v/>
      </c>
      <c r="Q104" s="738"/>
      <c r="R104" s="739"/>
      <c r="S104" s="739"/>
      <c r="X104" s="739"/>
      <c r="AA104" s="740"/>
      <c r="AG104" s="741"/>
      <c r="AH104" s="741"/>
      <c r="AI104" s="741"/>
      <c r="AJ104" s="741"/>
      <c r="AK104" s="741"/>
      <c r="AL104" s="914">
        <v>0</v>
      </c>
    </row>
    <row s="1370" customFormat="1" customHeight="1" ht="18.75" hidden="1">
      <c r="A105" s="2377"/>
      <c r="C105" s="739"/>
      <c r="D105" s="737"/>
      <c r="E105" s="550" t="str">
        <f>FHD_NUM_P_54</f>
        <v/>
      </c>
      <c r="F105" s="1884" t="str">
        <f>FHD_P_54</f>
        <v/>
      </c>
      <c r="G105" s="1885" t="s">
        <v>609</v>
      </c>
      <c r="H105" s="981"/>
      <c r="I105" s="581"/>
      <c r="J105" s="981"/>
      <c r="K105" s="981"/>
      <c r="L105" s="981"/>
      <c r="M105" s="981"/>
      <c r="N105" s="981"/>
      <c r="O105" s="981"/>
      <c r="P105" s="293" t="str">
        <f>FHD_NOTE_P_54</f>
        <v/>
      </c>
      <c r="Q105" s="738"/>
      <c r="R105" s="739"/>
      <c r="S105" s="739"/>
      <c r="X105" s="739"/>
      <c r="AA105" s="740"/>
      <c r="AG105" s="741"/>
      <c r="AH105" s="741"/>
      <c r="AI105" s="741"/>
      <c r="AJ105" s="741"/>
      <c r="AK105" s="741"/>
      <c r="AL105" s="914">
        <v>0</v>
      </c>
    </row>
    <row s="1370" customFormat="1" customHeight="1" ht="18.75" hidden="1">
      <c r="A106" s="2377"/>
      <c r="C106" s="739"/>
      <c r="D106" s="742"/>
      <c r="E106" s="550" t="str">
        <f>FHD_NUM_P_55</f>
        <v/>
      </c>
      <c r="F106" s="1884" t="str">
        <f>FHD_P_55</f>
        <v/>
      </c>
      <c r="G106" s="1888"/>
      <c r="H106" s="981"/>
      <c r="I106" s="581"/>
      <c r="J106" s="981"/>
      <c r="K106" s="981"/>
      <c r="L106" s="981"/>
      <c r="M106" s="981"/>
      <c r="N106" s="981"/>
      <c r="O106" s="981"/>
      <c r="P106" s="293" t="str">
        <f>FHD_NOTE_P_55</f>
        <v/>
      </c>
      <c r="Q106" s="738"/>
      <c r="R106" s="739"/>
      <c r="S106" s="739"/>
      <c r="X106" s="739"/>
      <c r="AA106" s="740"/>
      <c r="AG106" s="741"/>
      <c r="AH106" s="741"/>
      <c r="AI106" s="741"/>
      <c r="AJ106" s="741"/>
      <c r="AK106" s="741"/>
      <c r="AL106" s="914">
        <v>0</v>
      </c>
    </row>
    <row s="1370" customFormat="1" customHeight="1" ht="18.75" hidden="1">
      <c r="A107" s="2377"/>
      <c r="C107" s="739"/>
      <c r="D107" s="737"/>
      <c r="E107" s="550" t="str">
        <f>FHD_NUM_P_56</f>
        <v/>
      </c>
      <c r="F107" s="1884" t="str">
        <f>FHD_P_56</f>
        <v/>
      </c>
      <c r="G107" s="1885" t="s">
        <v>611</v>
      </c>
      <c r="H107" s="981"/>
      <c r="I107" s="581"/>
      <c r="J107" s="981"/>
      <c r="K107" s="981"/>
      <c r="L107" s="981"/>
      <c r="M107" s="981"/>
      <c r="N107" s="981"/>
      <c r="O107" s="981"/>
      <c r="P107" s="293" t="str">
        <f>FHD_NOTE_P_56</f>
        <v/>
      </c>
      <c r="Q107" s="738"/>
      <c r="R107" s="739"/>
      <c r="S107" s="739"/>
      <c r="X107" s="739"/>
      <c r="AA107" s="740"/>
      <c r="AG107" s="741"/>
      <c r="AH107" s="741"/>
      <c r="AI107" s="741"/>
      <c r="AJ107" s="741"/>
      <c r="AK107" s="741"/>
      <c r="AL107" s="914">
        <v>0</v>
      </c>
    </row>
    <row s="1639" customFormat="1" customHeight="1" ht="18.75" hidden="1">
      <c r="A108" s="2377"/>
      <c r="B108" s="914"/>
      <c r="C108" s="739"/>
      <c r="D108" s="737"/>
      <c r="E108" s="550" t="str">
        <f>FHD_NUM_P_57</f>
        <v/>
      </c>
      <c r="F108" s="1884" t="str">
        <f>FHD_P_57</f>
        <v/>
      </c>
      <c r="G108" s="1885" t="s">
        <v>576</v>
      </c>
      <c r="H108" s="980"/>
      <c r="I108" s="561"/>
      <c r="J108" s="980"/>
      <c r="K108" s="980"/>
      <c r="L108" s="980"/>
      <c r="M108" s="980"/>
      <c r="N108" s="980"/>
      <c r="O108" s="980"/>
      <c r="P108" s="293" t="str">
        <f>FHD_NOTE_P_57</f>
        <v/>
      </c>
      <c r="Q108" s="738"/>
      <c r="R108" s="739"/>
      <c r="S108" s="739"/>
      <c r="T108" s="914"/>
      <c r="U108" s="914"/>
      <c r="V108" s="914"/>
      <c r="W108" s="914"/>
      <c r="X108" s="739"/>
      <c r="Y108" s="914"/>
      <c r="Z108" s="914"/>
      <c r="AA108" s="740"/>
      <c r="AB108" s="914"/>
      <c r="AC108" s="914"/>
      <c r="AD108" s="914"/>
      <c r="AE108" s="914"/>
      <c r="AF108" s="914"/>
      <c r="AG108" s="741"/>
      <c r="AH108" s="741"/>
      <c r="AI108" s="741"/>
      <c r="AJ108" s="741"/>
      <c r="AK108" s="741"/>
      <c r="AL108" s="743">
        <v>0</v>
      </c>
    </row>
    <row customHeight="1" ht="18.75" hidden="1">
      <c r="A109" s="2375" t="s">
        <v>612</v>
      </c>
      <c r="D109" s="1642"/>
      <c r="E109" s="550" t="str">
        <f>FHD_NUM_P_58</f>
        <v/>
      </c>
      <c r="F109" s="1884" t="str">
        <f>FHD_P_58</f>
        <v/>
      </c>
      <c r="G109" s="1885" t="s">
        <v>609</v>
      </c>
      <c r="H109" s="981"/>
      <c r="I109" s="581"/>
      <c r="J109" s="981"/>
      <c r="K109" s="981"/>
      <c r="L109" s="981"/>
      <c r="M109" s="981"/>
      <c r="N109" s="981"/>
      <c r="O109" s="981"/>
      <c r="P109" s="293" t="str">
        <f>FHD_NOTE_P_58</f>
        <v/>
      </c>
      <c r="Q109" s="547"/>
      <c r="AL109" s="1635">
        <v>0</v>
      </c>
    </row>
    <row customHeight="1" ht="18.75" hidden="1">
      <c r="A110" s="2375"/>
      <c r="D110" s="1642"/>
      <c r="E110" s="550" t="str">
        <f>FHD_NUM_P_59</f>
        <v/>
      </c>
      <c r="F110" s="1884" t="str">
        <f>FHD_P_59</f>
        <v/>
      </c>
      <c r="G110" s="1885" t="s">
        <v>609</v>
      </c>
      <c r="H110" s="981"/>
      <c r="I110" s="581"/>
      <c r="J110" s="981"/>
      <c r="K110" s="981"/>
      <c r="L110" s="981"/>
      <c r="M110" s="981"/>
      <c r="N110" s="981"/>
      <c r="O110" s="981"/>
      <c r="P110" s="293" t="str">
        <f>FHD_NOTE_P_59</f>
        <v/>
      </c>
      <c r="Q110" s="547"/>
      <c r="AL110" s="1635">
        <v>0</v>
      </c>
    </row>
    <row customHeight="1" ht="18.75" hidden="1">
      <c r="A111" s="2375"/>
      <c r="D111" s="1642"/>
      <c r="E111" s="550" t="str">
        <f>FHD_NUM_P_60</f>
        <v/>
      </c>
      <c r="F111" s="1884" t="str">
        <f>FHD_P_60</f>
        <v/>
      </c>
      <c r="G111" s="1885" t="s">
        <v>609</v>
      </c>
      <c r="H111" s="981"/>
      <c r="I111" s="581"/>
      <c r="J111" s="981"/>
      <c r="K111" s="981"/>
      <c r="L111" s="981"/>
      <c r="M111" s="981"/>
      <c r="N111" s="981"/>
      <c r="O111" s="981"/>
      <c r="P111" s="293" t="str">
        <f>FHD_NOTE_P_60</f>
        <v/>
      </c>
      <c r="Q111" s="547"/>
      <c r="AL111" s="1635">
        <v>0</v>
      </c>
    </row>
    <row s="1370" customFormat="1" customHeight="1" ht="42.75">
      <c r="A112" s="2375" t="s">
        <v>613</v>
      </c>
      <c r="C112" s="1640"/>
      <c r="D112" s="1642"/>
      <c r="E112" s="550" t="str">
        <f>FHD_NUM_P_61</f>
        <v>7</v>
      </c>
      <c r="F112" s="188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2" s="1882" t="s">
        <v>574</v>
      </c>
      <c r="H112" s="983"/>
      <c r="I112" s="746">
        <v>2022.2</v>
      </c>
      <c r="J112" s="983">
        <v>19.26</v>
      </c>
      <c r="K112" s="983">
        <v>18.96</v>
      </c>
      <c r="L112" s="983">
        <v>0</v>
      </c>
      <c r="M112" s="983">
        <v>0</v>
      </c>
      <c r="N112" s="983">
        <v>0</v>
      </c>
      <c r="O112" s="983">
        <v>0</v>
      </c>
      <c r="P112" s="293"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Q112" s="547"/>
      <c r="R112" s="1640"/>
      <c r="S112" s="1640"/>
      <c r="X112" s="1640"/>
      <c r="AA112" s="548"/>
      <c r="AG112" s="1636"/>
      <c r="AH112" s="1636"/>
      <c r="AI112" s="1636"/>
      <c r="AJ112" s="1636"/>
      <c r="AK112" s="1636"/>
      <c r="AL112" s="1164">
        <v>0</v>
      </c>
    </row>
    <row s="1646" customFormat="1" customHeight="1" ht="9">
      <c r="A113" s="2375"/>
      <c r="D113" s="552"/>
      <c r="E113" s="1017" t="str">
        <f>E112&amp;".0"</f>
        <v>7.0</v>
      </c>
      <c r="F113" s="998"/>
      <c r="G113" s="999"/>
      <c r="H113" s="996"/>
      <c r="I113" s="996"/>
      <c r="J113" s="996"/>
      <c r="K113" s="996"/>
      <c r="L113" s="996"/>
      <c r="M113" s="996"/>
      <c r="N113" s="996"/>
      <c r="O113" s="996"/>
      <c r="P113" s="1000"/>
      <c r="AL113" s="1640">
        <v>0</v>
      </c>
    </row>
    <row s="1854" customFormat="1" customHeight="1" ht="18.75">
      <c r="A114" s="991"/>
      <c r="B114" s="1370"/>
      <c r="C114" s="1646"/>
      <c r="D114" s="687" t="s">
        <v>104</v>
      </c>
      <c r="E114" s="550" t="str">
        <f>E112&amp;".1"</f>
        <v>7.1</v>
      </c>
      <c r="F114" s="544" t="s">
        <v>614</v>
      </c>
      <c r="G114" s="2370" t="s">
        <v>574</v>
      </c>
      <c r="H114" s="755"/>
      <c r="I114" s="755">
        <v>6.36</v>
      </c>
      <c r="J114" s="755"/>
      <c r="K114" s="755"/>
      <c r="L114" s="755"/>
      <c r="M114" s="755"/>
      <c r="N114" s="755"/>
      <c r="O114" s="755"/>
      <c r="P114" s="1529" t="s">
        <v>575</v>
      </c>
      <c r="Q114" s="738"/>
      <c r="R114" s="1646"/>
      <c r="S114" s="1646"/>
      <c r="T114" s="1370"/>
      <c r="U114" s="1370"/>
      <c r="V114" s="1370"/>
      <c r="W114" s="1370"/>
      <c r="X114" s="1646"/>
      <c r="Y114" s="1370"/>
      <c r="Z114" s="1370"/>
      <c r="AA114" s="740"/>
      <c r="AB114" s="1370"/>
      <c r="AC114" s="1370"/>
      <c r="AD114" s="1370"/>
      <c r="AE114" s="1370"/>
      <c r="AF114" s="1370"/>
      <c r="AG114" s="1636"/>
      <c r="AH114" s="1636"/>
      <c r="AI114" s="1636"/>
      <c r="AJ114" s="1636"/>
      <c r="AK114" s="1636"/>
      <c r="AL114" s="1639">
        <v>0</v>
      </c>
    </row>
    <row s="1854" customFormat="1" customHeight="1" ht="18.75">
      <c r="A115" s="991"/>
      <c r="B115" s="1370"/>
      <c r="C115" s="1646"/>
      <c r="D115" s="687" t="s">
        <v>104</v>
      </c>
      <c r="E115" s="550" t="str">
        <f>E112&amp;".2"</f>
        <v>7.2</v>
      </c>
      <c r="F115" s="544" t="s">
        <v>615</v>
      </c>
      <c r="G115" s="2370" t="s">
        <v>574</v>
      </c>
      <c r="H115" s="755"/>
      <c r="I115" s="755">
        <v>13.33</v>
      </c>
      <c r="J115" s="755"/>
      <c r="K115" s="755"/>
      <c r="L115" s="755"/>
      <c r="M115" s="755"/>
      <c r="N115" s="755"/>
      <c r="O115" s="755"/>
      <c r="P115" s="1529" t="s">
        <v>575</v>
      </c>
      <c r="Q115" s="738"/>
      <c r="R115" s="1646"/>
      <c r="S115" s="1646"/>
      <c r="T115" s="1370"/>
      <c r="U115" s="1370"/>
      <c r="V115" s="1370"/>
      <c r="W115" s="1370"/>
      <c r="X115" s="1646"/>
      <c r="Y115" s="1370"/>
      <c r="Z115" s="1370"/>
      <c r="AA115" s="740"/>
      <c r="AB115" s="1370"/>
      <c r="AC115" s="1370"/>
      <c r="AD115" s="1370"/>
      <c r="AE115" s="1370"/>
      <c r="AF115" s="1370"/>
      <c r="AG115" s="1636"/>
      <c r="AH115" s="1636"/>
      <c r="AI115" s="1636"/>
      <c r="AJ115" s="1636"/>
      <c r="AK115" s="1636"/>
      <c r="AL115" s="1639">
        <v>0</v>
      </c>
    </row>
    <row s="1854" customFormat="1" customHeight="1" ht="18.75">
      <c r="A116" s="991"/>
      <c r="B116" s="1370"/>
      <c r="C116" s="1646"/>
      <c r="D116" s="687" t="s">
        <v>104</v>
      </c>
      <c r="E116" s="550" t="str">
        <f>E112&amp;".3"</f>
        <v>7.3</v>
      </c>
      <c r="F116" s="544" t="s">
        <v>616</v>
      </c>
      <c r="G116" s="2370" t="s">
        <v>574</v>
      </c>
      <c r="H116" s="755"/>
      <c r="I116" s="755">
        <v>2</v>
      </c>
      <c r="J116" s="755"/>
      <c r="K116" s="755"/>
      <c r="L116" s="755"/>
      <c r="M116" s="755"/>
      <c r="N116" s="755"/>
      <c r="O116" s="755"/>
      <c r="P116" s="1529" t="s">
        <v>575</v>
      </c>
      <c r="Q116" s="738"/>
      <c r="R116" s="1646"/>
      <c r="S116" s="1646"/>
      <c r="T116" s="1370"/>
      <c r="U116" s="1370"/>
      <c r="V116" s="1370"/>
      <c r="W116" s="1370"/>
      <c r="X116" s="1646"/>
      <c r="Y116" s="1370"/>
      <c r="Z116" s="1370"/>
      <c r="AA116" s="740"/>
      <c r="AB116" s="1370"/>
      <c r="AC116" s="1370"/>
      <c r="AD116" s="1370"/>
      <c r="AE116" s="1370"/>
      <c r="AF116" s="1370"/>
      <c r="AG116" s="1636"/>
      <c r="AH116" s="1636"/>
      <c r="AI116" s="1636"/>
      <c r="AJ116" s="1636"/>
      <c r="AK116" s="1636"/>
      <c r="AL116" s="1639">
        <v>0</v>
      </c>
    </row>
    <row s="1854" customFormat="1" customHeight="1" ht="18.75">
      <c r="A117" s="991"/>
      <c r="B117" s="1370"/>
      <c r="C117" s="1646"/>
      <c r="D117" s="687" t="s">
        <v>104</v>
      </c>
      <c r="E117" s="550" t="str">
        <f>E112&amp;".4"</f>
        <v>7.4</v>
      </c>
      <c r="F117" s="544" t="s">
        <v>617</v>
      </c>
      <c r="G117" s="2370" t="s">
        <v>574</v>
      </c>
      <c r="H117" s="755"/>
      <c r="I117" s="755">
        <v>21.23</v>
      </c>
      <c r="J117" s="755"/>
      <c r="K117" s="755"/>
      <c r="L117" s="755"/>
      <c r="M117" s="755"/>
      <c r="N117" s="755"/>
      <c r="O117" s="755"/>
      <c r="P117" s="1529" t="s">
        <v>575</v>
      </c>
      <c r="Q117" s="738"/>
      <c r="R117" s="1646"/>
      <c r="S117" s="1646"/>
      <c r="T117" s="1370"/>
      <c r="U117" s="1370"/>
      <c r="V117" s="1370"/>
      <c r="W117" s="1370"/>
      <c r="X117" s="1646"/>
      <c r="Y117" s="1370"/>
      <c r="Z117" s="1370"/>
      <c r="AA117" s="740"/>
      <c r="AB117" s="1370"/>
      <c r="AC117" s="1370"/>
      <c r="AD117" s="1370"/>
      <c r="AE117" s="1370"/>
      <c r="AF117" s="1370"/>
      <c r="AG117" s="1636"/>
      <c r="AH117" s="1636"/>
      <c r="AI117" s="1636"/>
      <c r="AJ117" s="1636"/>
      <c r="AK117" s="1636"/>
      <c r="AL117" s="1639">
        <v>0</v>
      </c>
    </row>
    <row s="1854" customFormat="1" customHeight="1" ht="18.75">
      <c r="A118" s="991"/>
      <c r="B118" s="1370"/>
      <c r="C118" s="1646"/>
      <c r="D118" s="687" t="s">
        <v>104</v>
      </c>
      <c r="E118" s="550" t="str">
        <f>E112&amp;".5"</f>
        <v>7.5</v>
      </c>
      <c r="F118" s="544" t="s">
        <v>618</v>
      </c>
      <c r="G118" s="2370" t="s">
        <v>574</v>
      </c>
      <c r="H118" s="755"/>
      <c r="I118" s="755">
        <v>4.73</v>
      </c>
      <c r="J118" s="755"/>
      <c r="K118" s="755"/>
      <c r="L118" s="755"/>
      <c r="M118" s="755"/>
      <c r="N118" s="755"/>
      <c r="O118" s="755"/>
      <c r="P118" s="1529" t="s">
        <v>575</v>
      </c>
      <c r="Q118" s="738"/>
      <c r="R118" s="1646"/>
      <c r="S118" s="1646"/>
      <c r="T118" s="1370"/>
      <c r="U118" s="1370"/>
      <c r="V118" s="1370"/>
      <c r="W118" s="1370"/>
      <c r="X118" s="1646"/>
      <c r="Y118" s="1370"/>
      <c r="Z118" s="1370"/>
      <c r="AA118" s="740"/>
      <c r="AB118" s="1370"/>
      <c r="AC118" s="1370"/>
      <c r="AD118" s="1370"/>
      <c r="AE118" s="1370"/>
      <c r="AF118" s="1370"/>
      <c r="AG118" s="1636"/>
      <c r="AH118" s="1636"/>
      <c r="AI118" s="1636"/>
      <c r="AJ118" s="1636"/>
      <c r="AK118" s="1636"/>
      <c r="AL118" s="1639">
        <v>0</v>
      </c>
    </row>
    <row s="1854" customFormat="1" customHeight="1" ht="18.75">
      <c r="A119" s="991"/>
      <c r="B119" s="1370"/>
      <c r="C119" s="1646"/>
      <c r="D119" s="687" t="s">
        <v>104</v>
      </c>
      <c r="E119" s="550" t="str">
        <f>E112&amp;".6"</f>
        <v>7.6</v>
      </c>
      <c r="F119" s="544" t="s">
        <v>619</v>
      </c>
      <c r="G119" s="2370" t="s">
        <v>574</v>
      </c>
      <c r="H119" s="755"/>
      <c r="I119" s="755">
        <v>4.3</v>
      </c>
      <c r="J119" s="755"/>
      <c r="K119" s="755"/>
      <c r="L119" s="755"/>
      <c r="M119" s="755"/>
      <c r="N119" s="755"/>
      <c r="O119" s="755"/>
      <c r="P119" s="1529" t="s">
        <v>575</v>
      </c>
      <c r="Q119" s="738"/>
      <c r="R119" s="1646"/>
      <c r="S119" s="1646"/>
      <c r="T119" s="1370"/>
      <c r="U119" s="1370"/>
      <c r="V119" s="1370"/>
      <c r="W119" s="1370"/>
      <c r="X119" s="1646"/>
      <c r="Y119" s="1370"/>
      <c r="Z119" s="1370"/>
      <c r="AA119" s="740"/>
      <c r="AB119" s="1370"/>
      <c r="AC119" s="1370"/>
      <c r="AD119" s="1370"/>
      <c r="AE119" s="1370"/>
      <c r="AF119" s="1370"/>
      <c r="AG119" s="1636"/>
      <c r="AH119" s="1636"/>
      <c r="AI119" s="1636"/>
      <c r="AJ119" s="1636"/>
      <c r="AK119" s="1636"/>
      <c r="AL119" s="1639">
        <v>0</v>
      </c>
    </row>
    <row s="1854" customFormat="1" customHeight="1" ht="18.75">
      <c r="A120" s="991"/>
      <c r="B120" s="1370"/>
      <c r="C120" s="1646"/>
      <c r="D120" s="687" t="s">
        <v>104</v>
      </c>
      <c r="E120" s="550" t="str">
        <f>E112&amp;".7"</f>
        <v>7.7</v>
      </c>
      <c r="F120" s="544" t="s">
        <v>620</v>
      </c>
      <c r="G120" s="2370" t="s">
        <v>574</v>
      </c>
      <c r="H120" s="755"/>
      <c r="I120" s="755">
        <v>0</v>
      </c>
      <c r="J120" s="755"/>
      <c r="K120" s="755"/>
      <c r="L120" s="755"/>
      <c r="M120" s="755"/>
      <c r="N120" s="755"/>
      <c r="O120" s="755"/>
      <c r="P120" s="1529" t="s">
        <v>575</v>
      </c>
      <c r="Q120" s="738"/>
      <c r="R120" s="1646"/>
      <c r="S120" s="1646"/>
      <c r="T120" s="1370"/>
      <c r="U120" s="1370"/>
      <c r="V120" s="1370"/>
      <c r="W120" s="1370"/>
      <c r="X120" s="1646"/>
      <c r="Y120" s="1370"/>
      <c r="Z120" s="1370"/>
      <c r="AA120" s="740"/>
      <c r="AB120" s="1370"/>
      <c r="AC120" s="1370"/>
      <c r="AD120" s="1370"/>
      <c r="AE120" s="1370"/>
      <c r="AF120" s="1370"/>
      <c r="AG120" s="1636"/>
      <c r="AH120" s="1636"/>
      <c r="AI120" s="1636"/>
      <c r="AJ120" s="1636"/>
      <c r="AK120" s="1636"/>
      <c r="AL120" s="1639">
        <v>0</v>
      </c>
    </row>
    <row s="1854" customFormat="1" customHeight="1" ht="18.75">
      <c r="A121" s="991"/>
      <c r="B121" s="1370"/>
      <c r="C121" s="1646"/>
      <c r="D121" s="687" t="s">
        <v>104</v>
      </c>
      <c r="E121" s="550" t="str">
        <f>E112&amp;".8"</f>
        <v>7.8</v>
      </c>
      <c r="F121" s="544" t="s">
        <v>621</v>
      </c>
      <c r="G121" s="2370" t="s">
        <v>574</v>
      </c>
      <c r="H121" s="755"/>
      <c r="I121" s="755">
        <v>1.41</v>
      </c>
      <c r="J121" s="755"/>
      <c r="K121" s="755"/>
      <c r="L121" s="755"/>
      <c r="M121" s="755"/>
      <c r="N121" s="755"/>
      <c r="O121" s="755"/>
      <c r="P121" s="1529" t="s">
        <v>575</v>
      </c>
      <c r="Q121" s="738"/>
      <c r="R121" s="1646"/>
      <c r="S121" s="1646"/>
      <c r="T121" s="1370"/>
      <c r="U121" s="1370"/>
      <c r="V121" s="1370"/>
      <c r="W121" s="1370"/>
      <c r="X121" s="1646"/>
      <c r="Y121" s="1370"/>
      <c r="Z121" s="1370"/>
      <c r="AA121" s="740"/>
      <c r="AB121" s="1370"/>
      <c r="AC121" s="1370"/>
      <c r="AD121" s="1370"/>
      <c r="AE121" s="1370"/>
      <c r="AF121" s="1370"/>
      <c r="AG121" s="1636"/>
      <c r="AH121" s="1636"/>
      <c r="AI121" s="1636"/>
      <c r="AJ121" s="1636"/>
      <c r="AK121" s="1636"/>
      <c r="AL121" s="1639">
        <v>0</v>
      </c>
    </row>
    <row s="1854" customFormat="1" customHeight="1" ht="18.75">
      <c r="A122" s="991"/>
      <c r="B122" s="1370"/>
      <c r="C122" s="1646"/>
      <c r="D122" s="687" t="s">
        <v>104</v>
      </c>
      <c r="E122" s="550" t="str">
        <f>E112&amp;".9"</f>
        <v>7.9</v>
      </c>
      <c r="F122" s="544" t="s">
        <v>622</v>
      </c>
      <c r="G122" s="2370" t="s">
        <v>574</v>
      </c>
      <c r="H122" s="755"/>
      <c r="I122" s="755">
        <v>1.48</v>
      </c>
      <c r="J122" s="755"/>
      <c r="K122" s="755"/>
      <c r="L122" s="755"/>
      <c r="M122" s="755"/>
      <c r="N122" s="755"/>
      <c r="O122" s="755"/>
      <c r="P122" s="1529" t="s">
        <v>575</v>
      </c>
      <c r="Q122" s="738"/>
      <c r="R122" s="1646"/>
      <c r="S122" s="1646"/>
      <c r="T122" s="1370"/>
      <c r="U122" s="1370"/>
      <c r="V122" s="1370"/>
      <c r="W122" s="1370"/>
      <c r="X122" s="1646"/>
      <c r="Y122" s="1370"/>
      <c r="Z122" s="1370"/>
      <c r="AA122" s="740"/>
      <c r="AB122" s="1370"/>
      <c r="AC122" s="1370"/>
      <c r="AD122" s="1370"/>
      <c r="AE122" s="1370"/>
      <c r="AF122" s="1370"/>
      <c r="AG122" s="1636"/>
      <c r="AH122" s="1636"/>
      <c r="AI122" s="1636"/>
      <c r="AJ122" s="1636"/>
      <c r="AK122" s="1636"/>
      <c r="AL122" s="1639">
        <v>0</v>
      </c>
    </row>
    <row s="1854" customFormat="1" customHeight="1" ht="18.75">
      <c r="A123" s="991"/>
      <c r="B123" s="1370"/>
      <c r="C123" s="1646"/>
      <c r="D123" s="687" t="s">
        <v>104</v>
      </c>
      <c r="E123" s="550" t="str">
        <f>E112&amp;".10"</f>
        <v>7.10</v>
      </c>
      <c r="F123" s="544" t="s">
        <v>623</v>
      </c>
      <c r="G123" s="2370" t="s">
        <v>574</v>
      </c>
      <c r="H123" s="755"/>
      <c r="I123" s="755">
        <v>4.8</v>
      </c>
      <c r="J123" s="755"/>
      <c r="K123" s="755"/>
      <c r="L123" s="755"/>
      <c r="M123" s="755"/>
      <c r="N123" s="755"/>
      <c r="O123" s="755"/>
      <c r="P123" s="1529" t="s">
        <v>575</v>
      </c>
      <c r="Q123" s="738"/>
      <c r="R123" s="1646"/>
      <c r="S123" s="1646"/>
      <c r="T123" s="1370"/>
      <c r="U123" s="1370"/>
      <c r="V123" s="1370"/>
      <c r="W123" s="1370"/>
      <c r="X123" s="1646"/>
      <c r="Y123" s="1370"/>
      <c r="Z123" s="1370"/>
      <c r="AA123" s="740"/>
      <c r="AB123" s="1370"/>
      <c r="AC123" s="1370"/>
      <c r="AD123" s="1370"/>
      <c r="AE123" s="1370"/>
      <c r="AF123" s="1370"/>
      <c r="AG123" s="1636"/>
      <c r="AH123" s="1636"/>
      <c r="AI123" s="1636"/>
      <c r="AJ123" s="1636"/>
      <c r="AK123" s="1636"/>
      <c r="AL123" s="1639">
        <v>0</v>
      </c>
    </row>
    <row s="1854" customFormat="1" customHeight="1" ht="18.75">
      <c r="A124" s="991"/>
      <c r="B124" s="1370"/>
      <c r="C124" s="1646"/>
      <c r="D124" s="687" t="s">
        <v>104</v>
      </c>
      <c r="E124" s="550" t="str">
        <f>E112&amp;".11"</f>
        <v>7.11</v>
      </c>
      <c r="F124" s="544" t="s">
        <v>624</v>
      </c>
      <c r="G124" s="2370" t="s">
        <v>574</v>
      </c>
      <c r="H124" s="755"/>
      <c r="I124" s="755">
        <v>0.26</v>
      </c>
      <c r="J124" s="755"/>
      <c r="K124" s="755"/>
      <c r="L124" s="755"/>
      <c r="M124" s="755"/>
      <c r="N124" s="755"/>
      <c r="O124" s="755"/>
      <c r="P124" s="1529" t="s">
        <v>575</v>
      </c>
      <c r="Q124" s="738"/>
      <c r="R124" s="1646"/>
      <c r="S124" s="1646"/>
      <c r="T124" s="1370"/>
      <c r="U124" s="1370"/>
      <c r="V124" s="1370"/>
      <c r="W124" s="1370"/>
      <c r="X124" s="1646"/>
      <c r="Y124" s="1370"/>
      <c r="Z124" s="1370"/>
      <c r="AA124" s="740"/>
      <c r="AB124" s="1370"/>
      <c r="AC124" s="1370"/>
      <c r="AD124" s="1370"/>
      <c r="AE124" s="1370"/>
      <c r="AF124" s="1370"/>
      <c r="AG124" s="1636"/>
      <c r="AH124" s="1636"/>
      <c r="AI124" s="1636"/>
      <c r="AJ124" s="1636"/>
      <c r="AK124" s="1636"/>
      <c r="AL124" s="1639">
        <v>0</v>
      </c>
    </row>
    <row s="1854" customFormat="1" customHeight="1" ht="18.75">
      <c r="A125" s="991"/>
      <c r="B125" s="1370"/>
      <c r="C125" s="1646"/>
      <c r="D125" s="687" t="s">
        <v>104</v>
      </c>
      <c r="E125" s="550" t="str">
        <f>E112&amp;".12"</f>
        <v>7.12</v>
      </c>
      <c r="F125" s="544" t="s">
        <v>625</v>
      </c>
      <c r="G125" s="2370" t="s">
        <v>574</v>
      </c>
      <c r="H125" s="755"/>
      <c r="I125" s="755">
        <v>2.67</v>
      </c>
      <c r="J125" s="755"/>
      <c r="K125" s="755"/>
      <c r="L125" s="755"/>
      <c r="M125" s="755"/>
      <c r="N125" s="755"/>
      <c r="O125" s="755"/>
      <c r="P125" s="1529" t="s">
        <v>575</v>
      </c>
      <c r="Q125" s="738"/>
      <c r="R125" s="1646"/>
      <c r="S125" s="1646"/>
      <c r="T125" s="1370"/>
      <c r="U125" s="1370"/>
      <c r="V125" s="1370"/>
      <c r="W125" s="1370"/>
      <c r="X125" s="1646"/>
      <c r="Y125" s="1370"/>
      <c r="Z125" s="1370"/>
      <c r="AA125" s="740"/>
      <c r="AB125" s="1370"/>
      <c r="AC125" s="1370"/>
      <c r="AD125" s="1370"/>
      <c r="AE125" s="1370"/>
      <c r="AF125" s="1370"/>
      <c r="AG125" s="1636"/>
      <c r="AH125" s="1636"/>
      <c r="AI125" s="1636"/>
      <c r="AJ125" s="1636"/>
      <c r="AK125" s="1636"/>
      <c r="AL125" s="1639">
        <v>0</v>
      </c>
    </row>
    <row s="1854" customFormat="1" customHeight="1" ht="18.75">
      <c r="A126" s="991"/>
      <c r="B126" s="1370"/>
      <c r="C126" s="1646"/>
      <c r="D126" s="687" t="s">
        <v>104</v>
      </c>
      <c r="E126" s="550" t="str">
        <f>E112&amp;".13"</f>
        <v>7.13</v>
      </c>
      <c r="F126" s="544" t="s">
        <v>626</v>
      </c>
      <c r="G126" s="2370" t="s">
        <v>574</v>
      </c>
      <c r="H126" s="755"/>
      <c r="I126" s="755">
        <v>1.03</v>
      </c>
      <c r="J126" s="755"/>
      <c r="K126" s="755"/>
      <c r="L126" s="755"/>
      <c r="M126" s="755"/>
      <c r="N126" s="755"/>
      <c r="O126" s="755"/>
      <c r="P126" s="1529" t="s">
        <v>575</v>
      </c>
      <c r="Q126" s="738"/>
      <c r="R126" s="1646"/>
      <c r="S126" s="1646"/>
      <c r="T126" s="1370"/>
      <c r="U126" s="1370"/>
      <c r="V126" s="1370"/>
      <c r="W126" s="1370"/>
      <c r="X126" s="1646"/>
      <c r="Y126" s="1370"/>
      <c r="Z126" s="1370"/>
      <c r="AA126" s="740"/>
      <c r="AB126" s="1370"/>
      <c r="AC126" s="1370"/>
      <c r="AD126" s="1370"/>
      <c r="AE126" s="1370"/>
      <c r="AF126" s="1370"/>
      <c r="AG126" s="1636"/>
      <c r="AH126" s="1636"/>
      <c r="AI126" s="1636"/>
      <c r="AJ126" s="1636"/>
      <c r="AK126" s="1636"/>
      <c r="AL126" s="1639">
        <v>0</v>
      </c>
    </row>
    <row s="1854" customFormat="1" customHeight="1" ht="18.75">
      <c r="A127" s="991"/>
      <c r="B127" s="1370"/>
      <c r="C127" s="1646"/>
      <c r="D127" s="687" t="s">
        <v>104</v>
      </c>
      <c r="E127" s="550" t="str">
        <f>E112&amp;".14"</f>
        <v>7.14</v>
      </c>
      <c r="F127" s="544" t="s">
        <v>627</v>
      </c>
      <c r="G127" s="2370" t="s">
        <v>574</v>
      </c>
      <c r="H127" s="755"/>
      <c r="I127" s="755">
        <v>2.68</v>
      </c>
      <c r="J127" s="755"/>
      <c r="K127" s="755"/>
      <c r="L127" s="755"/>
      <c r="M127" s="755"/>
      <c r="N127" s="755"/>
      <c r="O127" s="755"/>
      <c r="P127" s="1529" t="s">
        <v>575</v>
      </c>
      <c r="Q127" s="738"/>
      <c r="R127" s="1646"/>
      <c r="S127" s="1646"/>
      <c r="T127" s="1370"/>
      <c r="U127" s="1370"/>
      <c r="V127" s="1370"/>
      <c r="W127" s="1370"/>
      <c r="X127" s="1646"/>
      <c r="Y127" s="1370"/>
      <c r="Z127" s="1370"/>
      <c r="AA127" s="740"/>
      <c r="AB127" s="1370"/>
      <c r="AC127" s="1370"/>
      <c r="AD127" s="1370"/>
      <c r="AE127" s="1370"/>
      <c r="AF127" s="1370"/>
      <c r="AG127" s="1636"/>
      <c r="AH127" s="1636"/>
      <c r="AI127" s="1636"/>
      <c r="AJ127" s="1636"/>
      <c r="AK127" s="1636"/>
      <c r="AL127" s="1639">
        <v>0</v>
      </c>
    </row>
    <row s="1854" customFormat="1" customHeight="1" ht="18.75">
      <c r="A128" s="991"/>
      <c r="B128" s="1370"/>
      <c r="C128" s="1646"/>
      <c r="D128" s="687" t="s">
        <v>104</v>
      </c>
      <c r="E128" s="550" t="str">
        <f>E112&amp;".15"</f>
        <v>7.15</v>
      </c>
      <c r="F128" s="544" t="s">
        <v>628</v>
      </c>
      <c r="G128" s="2370" t="s">
        <v>574</v>
      </c>
      <c r="H128" s="755"/>
      <c r="I128" s="755">
        <v>0.33</v>
      </c>
      <c r="J128" s="755"/>
      <c r="K128" s="755"/>
      <c r="L128" s="755"/>
      <c r="M128" s="755"/>
      <c r="N128" s="755"/>
      <c r="O128" s="755"/>
      <c r="P128" s="1529" t="s">
        <v>575</v>
      </c>
      <c r="Q128" s="738"/>
      <c r="R128" s="1646"/>
      <c r="S128" s="1646"/>
      <c r="T128" s="1370"/>
      <c r="U128" s="1370"/>
      <c r="V128" s="1370"/>
      <c r="W128" s="1370"/>
      <c r="X128" s="1646"/>
      <c r="Y128" s="1370"/>
      <c r="Z128" s="1370"/>
      <c r="AA128" s="740"/>
      <c r="AB128" s="1370"/>
      <c r="AC128" s="1370"/>
      <c r="AD128" s="1370"/>
      <c r="AE128" s="1370"/>
      <c r="AF128" s="1370"/>
      <c r="AG128" s="1636"/>
      <c r="AH128" s="1636"/>
      <c r="AI128" s="1636"/>
      <c r="AJ128" s="1636"/>
      <c r="AK128" s="1636"/>
      <c r="AL128" s="1639">
        <v>0</v>
      </c>
    </row>
    <row s="1854" customFormat="1" customHeight="1" ht="18.75">
      <c r="A129" s="991"/>
      <c r="B129" s="1370"/>
      <c r="C129" s="1646"/>
      <c r="D129" s="687" t="s">
        <v>104</v>
      </c>
      <c r="E129" s="550" t="str">
        <f>E112&amp;".16"</f>
        <v>7.16</v>
      </c>
      <c r="F129" s="544" t="s">
        <v>629</v>
      </c>
      <c r="G129" s="2370" t="s">
        <v>574</v>
      </c>
      <c r="H129" s="755"/>
      <c r="I129" s="755">
        <v>4.74</v>
      </c>
      <c r="J129" s="755"/>
      <c r="K129" s="755"/>
      <c r="L129" s="755"/>
      <c r="M129" s="755"/>
      <c r="N129" s="755"/>
      <c r="O129" s="755"/>
      <c r="P129" s="1529" t="s">
        <v>575</v>
      </c>
      <c r="Q129" s="738"/>
      <c r="R129" s="1646"/>
      <c r="S129" s="1646"/>
      <c r="T129" s="1370"/>
      <c r="U129" s="1370"/>
      <c r="V129" s="1370"/>
      <c r="W129" s="1370"/>
      <c r="X129" s="1646"/>
      <c r="Y129" s="1370"/>
      <c r="Z129" s="1370"/>
      <c r="AA129" s="740"/>
      <c r="AB129" s="1370"/>
      <c r="AC129" s="1370"/>
      <c r="AD129" s="1370"/>
      <c r="AE129" s="1370"/>
      <c r="AF129" s="1370"/>
      <c r="AG129" s="1636"/>
      <c r="AH129" s="1636"/>
      <c r="AI129" s="1636"/>
      <c r="AJ129" s="1636"/>
      <c r="AK129" s="1636"/>
      <c r="AL129" s="1639">
        <v>0</v>
      </c>
    </row>
    <row s="1854" customFormat="1" customHeight="1" ht="18.75">
      <c r="A130" s="991"/>
      <c r="B130" s="1370"/>
      <c r="C130" s="1646"/>
      <c r="D130" s="687" t="s">
        <v>104</v>
      </c>
      <c r="E130" s="550" t="str">
        <f>E112&amp;".17"</f>
        <v>7.17</v>
      </c>
      <c r="F130" s="544" t="s">
        <v>630</v>
      </c>
      <c r="G130" s="2370" t="s">
        <v>574</v>
      </c>
      <c r="H130" s="755"/>
      <c r="I130" s="755">
        <v>3.18</v>
      </c>
      <c r="J130" s="755"/>
      <c r="K130" s="755"/>
      <c r="L130" s="755"/>
      <c r="M130" s="755"/>
      <c r="N130" s="755"/>
      <c r="O130" s="755"/>
      <c r="P130" s="1529" t="s">
        <v>575</v>
      </c>
      <c r="Q130" s="738"/>
      <c r="R130" s="1646"/>
      <c r="S130" s="1646"/>
      <c r="T130" s="1370"/>
      <c r="U130" s="1370"/>
      <c r="V130" s="1370"/>
      <c r="W130" s="1370"/>
      <c r="X130" s="1646"/>
      <c r="Y130" s="1370"/>
      <c r="Z130" s="1370"/>
      <c r="AA130" s="740"/>
      <c r="AB130" s="1370"/>
      <c r="AC130" s="1370"/>
      <c r="AD130" s="1370"/>
      <c r="AE130" s="1370"/>
      <c r="AF130" s="1370"/>
      <c r="AG130" s="1636"/>
      <c r="AH130" s="1636"/>
      <c r="AI130" s="1636"/>
      <c r="AJ130" s="1636"/>
      <c r="AK130" s="1636"/>
      <c r="AL130" s="1639">
        <v>0</v>
      </c>
    </row>
    <row s="1854" customFormat="1" customHeight="1" ht="18.75">
      <c r="A131" s="991"/>
      <c r="B131" s="1370"/>
      <c r="C131" s="1646"/>
      <c r="D131" s="687" t="s">
        <v>104</v>
      </c>
      <c r="E131" s="550" t="str">
        <f>E112&amp;".18"</f>
        <v>7.18</v>
      </c>
      <c r="F131" s="544" t="s">
        <v>631</v>
      </c>
      <c r="G131" s="2370" t="s">
        <v>574</v>
      </c>
      <c r="H131" s="755"/>
      <c r="I131" s="755">
        <v>16.17</v>
      </c>
      <c r="J131" s="755"/>
      <c r="K131" s="755"/>
      <c r="L131" s="755"/>
      <c r="M131" s="755"/>
      <c r="N131" s="755"/>
      <c r="O131" s="755"/>
      <c r="P131" s="1529" t="s">
        <v>575</v>
      </c>
      <c r="Q131" s="738"/>
      <c r="R131" s="1646"/>
      <c r="S131" s="1646"/>
      <c r="T131" s="1370"/>
      <c r="U131" s="1370"/>
      <c r="V131" s="1370"/>
      <c r="W131" s="1370"/>
      <c r="X131" s="1646"/>
      <c r="Y131" s="1370"/>
      <c r="Z131" s="1370"/>
      <c r="AA131" s="740"/>
      <c r="AB131" s="1370"/>
      <c r="AC131" s="1370"/>
      <c r="AD131" s="1370"/>
      <c r="AE131" s="1370"/>
      <c r="AF131" s="1370"/>
      <c r="AG131" s="1636"/>
      <c r="AH131" s="1636"/>
      <c r="AI131" s="1636"/>
      <c r="AJ131" s="1636"/>
      <c r="AK131" s="1636"/>
      <c r="AL131" s="1639">
        <v>0</v>
      </c>
    </row>
    <row s="1854" customFormat="1" customHeight="1" ht="18.75">
      <c r="A132" s="991"/>
      <c r="B132" s="1370"/>
      <c r="C132" s="1646"/>
      <c r="D132" s="687" t="s">
        <v>104</v>
      </c>
      <c r="E132" s="550" t="str">
        <f>E112&amp;".19"</f>
        <v>7.19</v>
      </c>
      <c r="F132" s="544" t="s">
        <v>632</v>
      </c>
      <c r="G132" s="2370" t="s">
        <v>574</v>
      </c>
      <c r="H132" s="755"/>
      <c r="I132" s="755">
        <v>5.88</v>
      </c>
      <c r="J132" s="755"/>
      <c r="K132" s="755"/>
      <c r="L132" s="755"/>
      <c r="M132" s="755"/>
      <c r="N132" s="755"/>
      <c r="O132" s="755"/>
      <c r="P132" s="1529" t="s">
        <v>575</v>
      </c>
      <c r="Q132" s="738"/>
      <c r="R132" s="1646"/>
      <c r="S132" s="1646"/>
      <c r="T132" s="1370"/>
      <c r="U132" s="1370"/>
      <c r="V132" s="1370"/>
      <c r="W132" s="1370"/>
      <c r="X132" s="1646"/>
      <c r="Y132" s="1370"/>
      <c r="Z132" s="1370"/>
      <c r="AA132" s="740"/>
      <c r="AB132" s="1370"/>
      <c r="AC132" s="1370"/>
      <c r="AD132" s="1370"/>
      <c r="AE132" s="1370"/>
      <c r="AF132" s="1370"/>
      <c r="AG132" s="1636"/>
      <c r="AH132" s="1636"/>
      <c r="AI132" s="1636"/>
      <c r="AJ132" s="1636"/>
      <c r="AK132" s="1636"/>
      <c r="AL132" s="1639">
        <v>0</v>
      </c>
    </row>
    <row s="1854" customFormat="1" customHeight="1" ht="18.75">
      <c r="A133" s="991"/>
      <c r="B133" s="1370"/>
      <c r="C133" s="1646"/>
      <c r="D133" s="687" t="s">
        <v>104</v>
      </c>
      <c r="E133" s="550" t="str">
        <f>E112&amp;".20"</f>
        <v>7.20</v>
      </c>
      <c r="F133" s="544" t="s">
        <v>633</v>
      </c>
      <c r="G133" s="2370" t="s">
        <v>574</v>
      </c>
      <c r="H133" s="755"/>
      <c r="I133" s="755">
        <v>12.16</v>
      </c>
      <c r="J133" s="755"/>
      <c r="K133" s="755"/>
      <c r="L133" s="755"/>
      <c r="M133" s="755"/>
      <c r="N133" s="755"/>
      <c r="O133" s="755"/>
      <c r="P133" s="1529" t="s">
        <v>575</v>
      </c>
      <c r="Q133" s="738"/>
      <c r="R133" s="1646"/>
      <c r="S133" s="1646"/>
      <c r="T133" s="1370"/>
      <c r="U133" s="1370"/>
      <c r="V133" s="1370"/>
      <c r="W133" s="1370"/>
      <c r="X133" s="1646"/>
      <c r="Y133" s="1370"/>
      <c r="Z133" s="1370"/>
      <c r="AA133" s="740"/>
      <c r="AB133" s="1370"/>
      <c r="AC133" s="1370"/>
      <c r="AD133" s="1370"/>
      <c r="AE133" s="1370"/>
      <c r="AF133" s="1370"/>
      <c r="AG133" s="1636"/>
      <c r="AH133" s="1636"/>
      <c r="AI133" s="1636"/>
      <c r="AJ133" s="1636"/>
      <c r="AK133" s="1636"/>
      <c r="AL133" s="1639">
        <v>0</v>
      </c>
    </row>
    <row s="1854" customFormat="1" customHeight="1" ht="18.75">
      <c r="A134" s="991"/>
      <c r="B134" s="1370"/>
      <c r="C134" s="1646"/>
      <c r="D134" s="687" t="s">
        <v>104</v>
      </c>
      <c r="E134" s="550" t="str">
        <f>E112&amp;".21"</f>
        <v>7.21</v>
      </c>
      <c r="F134" s="544" t="s">
        <v>634</v>
      </c>
      <c r="G134" s="2370" t="s">
        <v>574</v>
      </c>
      <c r="H134" s="755"/>
      <c r="I134" s="755">
        <v>4.64</v>
      </c>
      <c r="J134" s="755"/>
      <c r="K134" s="755"/>
      <c r="L134" s="755"/>
      <c r="M134" s="755"/>
      <c r="N134" s="755"/>
      <c r="O134" s="755"/>
      <c r="P134" s="1529" t="s">
        <v>575</v>
      </c>
      <c r="Q134" s="738"/>
      <c r="R134" s="1646"/>
      <c r="S134" s="1646"/>
      <c r="T134" s="1370"/>
      <c r="U134" s="1370"/>
      <c r="V134" s="1370"/>
      <c r="W134" s="1370"/>
      <c r="X134" s="1646"/>
      <c r="Y134" s="1370"/>
      <c r="Z134" s="1370"/>
      <c r="AA134" s="740"/>
      <c r="AB134" s="1370"/>
      <c r="AC134" s="1370"/>
      <c r="AD134" s="1370"/>
      <c r="AE134" s="1370"/>
      <c r="AF134" s="1370"/>
      <c r="AG134" s="1636"/>
      <c r="AH134" s="1636"/>
      <c r="AI134" s="1636"/>
      <c r="AJ134" s="1636"/>
      <c r="AK134" s="1636"/>
      <c r="AL134" s="1639">
        <v>0</v>
      </c>
    </row>
    <row s="1854" customFormat="1" customHeight="1" ht="18.75">
      <c r="A135" s="991"/>
      <c r="B135" s="1370"/>
      <c r="C135" s="1646"/>
      <c r="D135" s="687" t="s">
        <v>104</v>
      </c>
      <c r="E135" s="550" t="str">
        <f>E112&amp;".22"</f>
        <v>7.22</v>
      </c>
      <c r="F135" s="544" t="s">
        <v>635</v>
      </c>
      <c r="G135" s="2370" t="s">
        <v>574</v>
      </c>
      <c r="H135" s="755"/>
      <c r="I135" s="755">
        <v>73</v>
      </c>
      <c r="J135" s="755"/>
      <c r="K135" s="755"/>
      <c r="L135" s="755"/>
      <c r="M135" s="755"/>
      <c r="N135" s="755"/>
      <c r="O135" s="755"/>
      <c r="P135" s="1529" t="s">
        <v>575</v>
      </c>
      <c r="Q135" s="738"/>
      <c r="R135" s="1646"/>
      <c r="S135" s="1646"/>
      <c r="T135" s="1370"/>
      <c r="U135" s="1370"/>
      <c r="V135" s="1370"/>
      <c r="W135" s="1370"/>
      <c r="X135" s="1646"/>
      <c r="Y135" s="1370"/>
      <c r="Z135" s="1370"/>
      <c r="AA135" s="740"/>
      <c r="AB135" s="1370"/>
      <c r="AC135" s="1370"/>
      <c r="AD135" s="1370"/>
      <c r="AE135" s="1370"/>
      <c r="AF135" s="1370"/>
      <c r="AG135" s="1636"/>
      <c r="AH135" s="1636"/>
      <c r="AI135" s="1636"/>
      <c r="AJ135" s="1636"/>
      <c r="AK135" s="1636"/>
      <c r="AL135" s="1639">
        <v>0</v>
      </c>
    </row>
    <row s="1854" customFormat="1" customHeight="1" ht="18.75">
      <c r="A136" s="991"/>
      <c r="B136" s="1370"/>
      <c r="C136" s="1646"/>
      <c r="D136" s="687" t="s">
        <v>104</v>
      </c>
      <c r="E136" s="550" t="str">
        <f>E112&amp;".23"</f>
        <v>7.23</v>
      </c>
      <c r="F136" s="544" t="s">
        <v>636</v>
      </c>
      <c r="G136" s="2370" t="s">
        <v>574</v>
      </c>
      <c r="H136" s="755"/>
      <c r="I136" s="755">
        <v>12.6</v>
      </c>
      <c r="J136" s="755"/>
      <c r="K136" s="755"/>
      <c r="L136" s="755"/>
      <c r="M136" s="755"/>
      <c r="N136" s="755"/>
      <c r="O136" s="755"/>
      <c r="P136" s="1529" t="s">
        <v>575</v>
      </c>
      <c r="Q136" s="738"/>
      <c r="R136" s="1646"/>
      <c r="S136" s="1646"/>
      <c r="T136" s="1370"/>
      <c r="U136" s="1370"/>
      <c r="V136" s="1370"/>
      <c r="W136" s="1370"/>
      <c r="X136" s="1646"/>
      <c r="Y136" s="1370"/>
      <c r="Z136" s="1370"/>
      <c r="AA136" s="740"/>
      <c r="AB136" s="1370"/>
      <c r="AC136" s="1370"/>
      <c r="AD136" s="1370"/>
      <c r="AE136" s="1370"/>
      <c r="AF136" s="1370"/>
      <c r="AG136" s="1636"/>
      <c r="AH136" s="1636"/>
      <c r="AI136" s="1636"/>
      <c r="AJ136" s="1636"/>
      <c r="AK136" s="1636"/>
      <c r="AL136" s="1639">
        <v>0</v>
      </c>
    </row>
    <row s="1854" customFormat="1" customHeight="1" ht="18.75">
      <c r="A137" s="991"/>
      <c r="B137" s="1370"/>
      <c r="C137" s="1646"/>
      <c r="D137" s="687" t="s">
        <v>104</v>
      </c>
      <c r="E137" s="550" t="str">
        <f>E112&amp;".24"</f>
        <v>7.24</v>
      </c>
      <c r="F137" s="544" t="s">
        <v>637</v>
      </c>
      <c r="G137" s="2370" t="s">
        <v>574</v>
      </c>
      <c r="H137" s="755"/>
      <c r="I137" s="755">
        <v>12.6</v>
      </c>
      <c r="J137" s="755"/>
      <c r="K137" s="755"/>
      <c r="L137" s="755"/>
      <c r="M137" s="755"/>
      <c r="N137" s="755"/>
      <c r="O137" s="755"/>
      <c r="P137" s="1529" t="s">
        <v>575</v>
      </c>
      <c r="Q137" s="738"/>
      <c r="R137" s="1646"/>
      <c r="S137" s="1646"/>
      <c r="T137" s="1370"/>
      <c r="U137" s="1370"/>
      <c r="V137" s="1370"/>
      <c r="W137" s="1370"/>
      <c r="X137" s="1646"/>
      <c r="Y137" s="1370"/>
      <c r="Z137" s="1370"/>
      <c r="AA137" s="740"/>
      <c r="AB137" s="1370"/>
      <c r="AC137" s="1370"/>
      <c r="AD137" s="1370"/>
      <c r="AE137" s="1370"/>
      <c r="AF137" s="1370"/>
      <c r="AG137" s="1636"/>
      <c r="AH137" s="1636"/>
      <c r="AI137" s="1636"/>
      <c r="AJ137" s="1636"/>
      <c r="AK137" s="1636"/>
      <c r="AL137" s="1639">
        <v>0</v>
      </c>
    </row>
    <row s="1854" customFormat="1" customHeight="1" ht="18.75">
      <c r="A138" s="991"/>
      <c r="B138" s="1370"/>
      <c r="C138" s="1646"/>
      <c r="D138" s="687" t="s">
        <v>104</v>
      </c>
      <c r="E138" s="550" t="str">
        <f>E112&amp;".25"</f>
        <v>7.25</v>
      </c>
      <c r="F138" s="544" t="s">
        <v>638</v>
      </c>
      <c r="G138" s="2370" t="s">
        <v>574</v>
      </c>
      <c r="H138" s="755"/>
      <c r="I138" s="755">
        <v>20</v>
      </c>
      <c r="J138" s="755"/>
      <c r="K138" s="755"/>
      <c r="L138" s="755"/>
      <c r="M138" s="755"/>
      <c r="N138" s="755"/>
      <c r="O138" s="755"/>
      <c r="P138" s="1529" t="s">
        <v>575</v>
      </c>
      <c r="Q138" s="738"/>
      <c r="R138" s="1646"/>
      <c r="S138" s="1646"/>
      <c r="T138" s="1370"/>
      <c r="U138" s="1370"/>
      <c r="V138" s="1370"/>
      <c r="W138" s="1370"/>
      <c r="X138" s="1646"/>
      <c r="Y138" s="1370"/>
      <c r="Z138" s="1370"/>
      <c r="AA138" s="740"/>
      <c r="AB138" s="1370"/>
      <c r="AC138" s="1370"/>
      <c r="AD138" s="1370"/>
      <c r="AE138" s="1370"/>
      <c r="AF138" s="1370"/>
      <c r="AG138" s="1636"/>
      <c r="AH138" s="1636"/>
      <c r="AI138" s="1636"/>
      <c r="AJ138" s="1636"/>
      <c r="AK138" s="1636"/>
      <c r="AL138" s="1639">
        <v>0</v>
      </c>
    </row>
    <row s="1854" customFormat="1" customHeight="1" ht="18.75">
      <c r="A139" s="991"/>
      <c r="B139" s="1370"/>
      <c r="C139" s="1646"/>
      <c r="D139" s="687" t="s">
        <v>104</v>
      </c>
      <c r="E139" s="550" t="str">
        <f>E112&amp;".26"</f>
        <v>7.26</v>
      </c>
      <c r="F139" s="544" t="s">
        <v>639</v>
      </c>
      <c r="G139" s="2370" t="s">
        <v>574</v>
      </c>
      <c r="H139" s="755"/>
      <c r="I139" s="755">
        <v>5.81</v>
      </c>
      <c r="J139" s="755"/>
      <c r="K139" s="755"/>
      <c r="L139" s="755"/>
      <c r="M139" s="755"/>
      <c r="N139" s="755"/>
      <c r="O139" s="755"/>
      <c r="P139" s="1529" t="s">
        <v>575</v>
      </c>
      <c r="Q139" s="738"/>
      <c r="R139" s="1646"/>
      <c r="S139" s="1646"/>
      <c r="T139" s="1370"/>
      <c r="U139" s="1370"/>
      <c r="V139" s="1370"/>
      <c r="W139" s="1370"/>
      <c r="X139" s="1646"/>
      <c r="Y139" s="1370"/>
      <c r="Z139" s="1370"/>
      <c r="AA139" s="740"/>
      <c r="AB139" s="1370"/>
      <c r="AC139" s="1370"/>
      <c r="AD139" s="1370"/>
      <c r="AE139" s="1370"/>
      <c r="AF139" s="1370"/>
      <c r="AG139" s="1636"/>
      <c r="AH139" s="1636"/>
      <c r="AI139" s="1636"/>
      <c r="AJ139" s="1636"/>
      <c r="AK139" s="1636"/>
      <c r="AL139" s="1639">
        <v>0</v>
      </c>
    </row>
    <row s="1854" customFormat="1" customHeight="1" ht="18.75">
      <c r="A140" s="991"/>
      <c r="B140" s="1370"/>
      <c r="C140" s="1646"/>
      <c r="D140" s="687" t="s">
        <v>104</v>
      </c>
      <c r="E140" s="550" t="str">
        <f>E112&amp;".27"</f>
        <v>7.27</v>
      </c>
      <c r="F140" s="544" t="s">
        <v>640</v>
      </c>
      <c r="G140" s="2370" t="s">
        <v>574</v>
      </c>
      <c r="H140" s="755"/>
      <c r="I140" s="755">
        <v>23.38</v>
      </c>
      <c r="J140" s="755"/>
      <c r="K140" s="755"/>
      <c r="L140" s="755"/>
      <c r="M140" s="755"/>
      <c r="N140" s="755"/>
      <c r="O140" s="755"/>
      <c r="P140" s="1529" t="s">
        <v>575</v>
      </c>
      <c r="Q140" s="738"/>
      <c r="R140" s="1646"/>
      <c r="S140" s="1646"/>
      <c r="T140" s="1370"/>
      <c r="U140" s="1370"/>
      <c r="V140" s="1370"/>
      <c r="W140" s="1370"/>
      <c r="X140" s="1646"/>
      <c r="Y140" s="1370"/>
      <c r="Z140" s="1370"/>
      <c r="AA140" s="740"/>
      <c r="AB140" s="1370"/>
      <c r="AC140" s="1370"/>
      <c r="AD140" s="1370"/>
      <c r="AE140" s="1370"/>
      <c r="AF140" s="1370"/>
      <c r="AG140" s="1636"/>
      <c r="AH140" s="1636"/>
      <c r="AI140" s="1636"/>
      <c r="AJ140" s="1636"/>
      <c r="AK140" s="1636"/>
      <c r="AL140" s="1639">
        <v>0</v>
      </c>
    </row>
    <row s="1854" customFormat="1" customHeight="1" ht="18.75">
      <c r="A141" s="991"/>
      <c r="B141" s="1370"/>
      <c r="C141" s="1646"/>
      <c r="D141" s="687" t="s">
        <v>104</v>
      </c>
      <c r="E141" s="550" t="str">
        <f>E112&amp;".28"</f>
        <v>7.28</v>
      </c>
      <c r="F141" s="544" t="s">
        <v>641</v>
      </c>
      <c r="G141" s="2370" t="s">
        <v>574</v>
      </c>
      <c r="H141" s="755"/>
      <c r="I141" s="755">
        <v>17.45</v>
      </c>
      <c r="J141" s="755"/>
      <c r="K141" s="755"/>
      <c r="L141" s="755"/>
      <c r="M141" s="755"/>
      <c r="N141" s="755"/>
      <c r="O141" s="755"/>
      <c r="P141" s="1529" t="s">
        <v>575</v>
      </c>
      <c r="Q141" s="738"/>
      <c r="R141" s="1646"/>
      <c r="S141" s="1646"/>
      <c r="T141" s="1370"/>
      <c r="U141" s="1370"/>
      <c r="V141" s="1370"/>
      <c r="W141" s="1370"/>
      <c r="X141" s="1646"/>
      <c r="Y141" s="1370"/>
      <c r="Z141" s="1370"/>
      <c r="AA141" s="740"/>
      <c r="AB141" s="1370"/>
      <c r="AC141" s="1370"/>
      <c r="AD141" s="1370"/>
      <c r="AE141" s="1370"/>
      <c r="AF141" s="1370"/>
      <c r="AG141" s="1636"/>
      <c r="AH141" s="1636"/>
      <c r="AI141" s="1636"/>
      <c r="AJ141" s="1636"/>
      <c r="AK141" s="1636"/>
      <c r="AL141" s="1639">
        <v>0</v>
      </c>
    </row>
    <row s="1854" customFormat="1" customHeight="1" ht="18.75">
      <c r="A142" s="991"/>
      <c r="B142" s="1370"/>
      <c r="C142" s="1646"/>
      <c r="D142" s="687" t="s">
        <v>104</v>
      </c>
      <c r="E142" s="550" t="str">
        <f>E112&amp;".29"</f>
        <v>7.29</v>
      </c>
      <c r="F142" s="544" t="s">
        <v>642</v>
      </c>
      <c r="G142" s="2370" t="s">
        <v>574</v>
      </c>
      <c r="H142" s="755"/>
      <c r="I142" s="755">
        <v>60</v>
      </c>
      <c r="J142" s="755"/>
      <c r="K142" s="755"/>
      <c r="L142" s="755"/>
      <c r="M142" s="755"/>
      <c r="N142" s="755"/>
      <c r="O142" s="755"/>
      <c r="P142" s="1529" t="s">
        <v>575</v>
      </c>
      <c r="Q142" s="738"/>
      <c r="R142" s="1646"/>
      <c r="S142" s="1646"/>
      <c r="T142" s="1370"/>
      <c r="U142" s="1370"/>
      <c r="V142" s="1370"/>
      <c r="W142" s="1370"/>
      <c r="X142" s="1646"/>
      <c r="Y142" s="1370"/>
      <c r="Z142" s="1370"/>
      <c r="AA142" s="740"/>
      <c r="AB142" s="1370"/>
      <c r="AC142" s="1370"/>
      <c r="AD142" s="1370"/>
      <c r="AE142" s="1370"/>
      <c r="AF142" s="1370"/>
      <c r="AG142" s="1636"/>
      <c r="AH142" s="1636"/>
      <c r="AI142" s="1636"/>
      <c r="AJ142" s="1636"/>
      <c r="AK142" s="1636"/>
      <c r="AL142" s="1639">
        <v>0</v>
      </c>
    </row>
    <row s="1854" customFormat="1" customHeight="1" ht="18.75">
      <c r="A143" s="991"/>
      <c r="B143" s="1370"/>
      <c r="C143" s="1646"/>
      <c r="D143" s="687" t="s">
        <v>104</v>
      </c>
      <c r="E143" s="550" t="str">
        <f>E112&amp;".30"</f>
        <v>7.30</v>
      </c>
      <c r="F143" s="544" t="s">
        <v>643</v>
      </c>
      <c r="G143" s="2370" t="s">
        <v>574</v>
      </c>
      <c r="H143" s="755"/>
      <c r="I143" s="755">
        <v>20.66</v>
      </c>
      <c r="J143" s="755"/>
      <c r="K143" s="755"/>
      <c r="L143" s="755"/>
      <c r="M143" s="755"/>
      <c r="N143" s="755"/>
      <c r="O143" s="755"/>
      <c r="P143" s="1529" t="s">
        <v>575</v>
      </c>
      <c r="Q143" s="738"/>
      <c r="R143" s="1646"/>
      <c r="S143" s="1646"/>
      <c r="T143" s="1370"/>
      <c r="U143" s="1370"/>
      <c r="V143" s="1370"/>
      <c r="W143" s="1370"/>
      <c r="X143" s="1646"/>
      <c r="Y143" s="1370"/>
      <c r="Z143" s="1370"/>
      <c r="AA143" s="740"/>
      <c r="AB143" s="1370"/>
      <c r="AC143" s="1370"/>
      <c r="AD143" s="1370"/>
      <c r="AE143" s="1370"/>
      <c r="AF143" s="1370"/>
      <c r="AG143" s="1636"/>
      <c r="AH143" s="1636"/>
      <c r="AI143" s="1636"/>
      <c r="AJ143" s="1636"/>
      <c r="AK143" s="1636"/>
      <c r="AL143" s="1639">
        <v>0</v>
      </c>
    </row>
    <row s="1854" customFormat="1" customHeight="1" ht="18.75">
      <c r="A144" s="991"/>
      <c r="B144" s="1370"/>
      <c r="C144" s="1646"/>
      <c r="D144" s="687" t="s">
        <v>104</v>
      </c>
      <c r="E144" s="550" t="str">
        <f>E112&amp;".31"</f>
        <v>7.31</v>
      </c>
      <c r="F144" s="544" t="s">
        <v>644</v>
      </c>
      <c r="G144" s="2370" t="s">
        <v>574</v>
      </c>
      <c r="H144" s="755"/>
      <c r="I144" s="755">
        <v>0</v>
      </c>
      <c r="J144" s="755"/>
      <c r="K144" s="755"/>
      <c r="L144" s="755"/>
      <c r="M144" s="755"/>
      <c r="N144" s="755"/>
      <c r="O144" s="755"/>
      <c r="P144" s="1529" t="s">
        <v>575</v>
      </c>
      <c r="Q144" s="738"/>
      <c r="R144" s="1646"/>
      <c r="S144" s="1646"/>
      <c r="T144" s="1370"/>
      <c r="U144" s="1370"/>
      <c r="V144" s="1370"/>
      <c r="W144" s="1370"/>
      <c r="X144" s="1646"/>
      <c r="Y144" s="1370"/>
      <c r="Z144" s="1370"/>
      <c r="AA144" s="740"/>
      <c r="AB144" s="1370"/>
      <c r="AC144" s="1370"/>
      <c r="AD144" s="1370"/>
      <c r="AE144" s="1370"/>
      <c r="AF144" s="1370"/>
      <c r="AG144" s="1636"/>
      <c r="AH144" s="1636"/>
      <c r="AI144" s="1636"/>
      <c r="AJ144" s="1636"/>
      <c r="AK144" s="1636"/>
      <c r="AL144" s="1639">
        <v>0</v>
      </c>
    </row>
    <row s="1854" customFormat="1" customHeight="1" ht="18.75">
      <c r="A145" s="991"/>
      <c r="B145" s="1370"/>
      <c r="C145" s="1646"/>
      <c r="D145" s="687" t="s">
        <v>104</v>
      </c>
      <c r="E145" s="550" t="str">
        <f>E112&amp;".32"</f>
        <v>7.32</v>
      </c>
      <c r="F145" s="544" t="s">
        <v>645</v>
      </c>
      <c r="G145" s="2370" t="s">
        <v>574</v>
      </c>
      <c r="H145" s="755"/>
      <c r="I145" s="755">
        <v>17.71</v>
      </c>
      <c r="J145" s="755"/>
      <c r="K145" s="755"/>
      <c r="L145" s="755"/>
      <c r="M145" s="755"/>
      <c r="N145" s="755"/>
      <c r="O145" s="755"/>
      <c r="P145" s="1529" t="s">
        <v>575</v>
      </c>
      <c r="Q145" s="738"/>
      <c r="R145" s="1646"/>
      <c r="S145" s="1646"/>
      <c r="T145" s="1370"/>
      <c r="U145" s="1370"/>
      <c r="V145" s="1370"/>
      <c r="W145" s="1370"/>
      <c r="X145" s="1646"/>
      <c r="Y145" s="1370"/>
      <c r="Z145" s="1370"/>
      <c r="AA145" s="740"/>
      <c r="AB145" s="1370"/>
      <c r="AC145" s="1370"/>
      <c r="AD145" s="1370"/>
      <c r="AE145" s="1370"/>
      <c r="AF145" s="1370"/>
      <c r="AG145" s="1636"/>
      <c r="AH145" s="1636"/>
      <c r="AI145" s="1636"/>
      <c r="AJ145" s="1636"/>
      <c r="AK145" s="1636"/>
      <c r="AL145" s="1639">
        <v>0</v>
      </c>
    </row>
    <row s="1854" customFormat="1" customHeight="1" ht="18.75">
      <c r="A146" s="991"/>
      <c r="B146" s="1370"/>
      <c r="C146" s="1646"/>
      <c r="D146" s="687" t="s">
        <v>104</v>
      </c>
      <c r="E146" s="550" t="str">
        <f>E112&amp;".33"</f>
        <v>7.33</v>
      </c>
      <c r="F146" s="544" t="s">
        <v>646</v>
      </c>
      <c r="G146" s="2370" t="s">
        <v>574</v>
      </c>
      <c r="H146" s="755"/>
      <c r="I146" s="755">
        <v>80</v>
      </c>
      <c r="J146" s="755"/>
      <c r="K146" s="755"/>
      <c r="L146" s="755"/>
      <c r="M146" s="755"/>
      <c r="N146" s="755"/>
      <c r="O146" s="755"/>
      <c r="P146" s="1529" t="s">
        <v>575</v>
      </c>
      <c r="Q146" s="738"/>
      <c r="R146" s="1646"/>
      <c r="S146" s="1646"/>
      <c r="T146" s="1370"/>
      <c r="U146" s="1370"/>
      <c r="V146" s="1370"/>
      <c r="W146" s="1370"/>
      <c r="X146" s="1646"/>
      <c r="Y146" s="1370"/>
      <c r="Z146" s="1370"/>
      <c r="AA146" s="740"/>
      <c r="AB146" s="1370"/>
      <c r="AC146" s="1370"/>
      <c r="AD146" s="1370"/>
      <c r="AE146" s="1370"/>
      <c r="AF146" s="1370"/>
      <c r="AG146" s="1636"/>
      <c r="AH146" s="1636"/>
      <c r="AI146" s="1636"/>
      <c r="AJ146" s="1636"/>
      <c r="AK146" s="1636"/>
      <c r="AL146" s="1639">
        <v>0</v>
      </c>
    </row>
    <row s="1854" customFormat="1" customHeight="1" ht="18.75">
      <c r="A147" s="991"/>
      <c r="B147" s="1370"/>
      <c r="C147" s="1646"/>
      <c r="D147" s="687" t="s">
        <v>104</v>
      </c>
      <c r="E147" s="550" t="str">
        <f>E112&amp;".34"</f>
        <v>7.34</v>
      </c>
      <c r="F147" s="544" t="s">
        <v>647</v>
      </c>
      <c r="G147" s="2370" t="s">
        <v>574</v>
      </c>
      <c r="H147" s="755"/>
      <c r="I147" s="755">
        <v>3.04</v>
      </c>
      <c r="J147" s="755"/>
      <c r="K147" s="755"/>
      <c r="L147" s="755"/>
      <c r="M147" s="755"/>
      <c r="N147" s="755"/>
      <c r="O147" s="755"/>
      <c r="P147" s="1529" t="s">
        <v>575</v>
      </c>
      <c r="Q147" s="738"/>
      <c r="R147" s="1646"/>
      <c r="S147" s="1646"/>
      <c r="T147" s="1370"/>
      <c r="U147" s="1370"/>
      <c r="V147" s="1370"/>
      <c r="W147" s="1370"/>
      <c r="X147" s="1646"/>
      <c r="Y147" s="1370"/>
      <c r="Z147" s="1370"/>
      <c r="AA147" s="740"/>
      <c r="AB147" s="1370"/>
      <c r="AC147" s="1370"/>
      <c r="AD147" s="1370"/>
      <c r="AE147" s="1370"/>
      <c r="AF147" s="1370"/>
      <c r="AG147" s="1636"/>
      <c r="AH147" s="1636"/>
      <c r="AI147" s="1636"/>
      <c r="AJ147" s="1636"/>
      <c r="AK147" s="1636"/>
      <c r="AL147" s="1639">
        <v>0</v>
      </c>
    </row>
    <row s="1854" customFormat="1" customHeight="1" ht="18.75">
      <c r="A148" s="991"/>
      <c r="B148" s="1370"/>
      <c r="C148" s="1646"/>
      <c r="D148" s="687" t="s">
        <v>104</v>
      </c>
      <c r="E148" s="550" t="str">
        <f>E112&amp;".35"</f>
        <v>7.35</v>
      </c>
      <c r="F148" s="544" t="s">
        <v>648</v>
      </c>
      <c r="G148" s="2370" t="s">
        <v>574</v>
      </c>
      <c r="H148" s="755"/>
      <c r="I148" s="755">
        <v>26</v>
      </c>
      <c r="J148" s="755"/>
      <c r="K148" s="755"/>
      <c r="L148" s="755"/>
      <c r="M148" s="755"/>
      <c r="N148" s="755"/>
      <c r="O148" s="755"/>
      <c r="P148" s="1529" t="s">
        <v>575</v>
      </c>
      <c r="Q148" s="738"/>
      <c r="R148" s="1646"/>
      <c r="S148" s="1646"/>
      <c r="T148" s="1370"/>
      <c r="U148" s="1370"/>
      <c r="V148" s="1370"/>
      <c r="W148" s="1370"/>
      <c r="X148" s="1646"/>
      <c r="Y148" s="1370"/>
      <c r="Z148" s="1370"/>
      <c r="AA148" s="740"/>
      <c r="AB148" s="1370"/>
      <c r="AC148" s="1370"/>
      <c r="AD148" s="1370"/>
      <c r="AE148" s="1370"/>
      <c r="AF148" s="1370"/>
      <c r="AG148" s="1636"/>
      <c r="AH148" s="1636"/>
      <c r="AI148" s="1636"/>
      <c r="AJ148" s="1636"/>
      <c r="AK148" s="1636"/>
      <c r="AL148" s="1639">
        <v>0</v>
      </c>
    </row>
    <row s="1854" customFormat="1" customHeight="1" ht="18.75">
      <c r="A149" s="991"/>
      <c r="B149" s="1370"/>
      <c r="C149" s="1646"/>
      <c r="D149" s="687" t="s">
        <v>104</v>
      </c>
      <c r="E149" s="550" t="str">
        <f>E112&amp;".36"</f>
        <v>7.36</v>
      </c>
      <c r="F149" s="544" t="s">
        <v>649</v>
      </c>
      <c r="G149" s="2370" t="s">
        <v>574</v>
      </c>
      <c r="H149" s="755"/>
      <c r="I149" s="755">
        <v>30.44</v>
      </c>
      <c r="J149" s="755"/>
      <c r="K149" s="755"/>
      <c r="L149" s="755"/>
      <c r="M149" s="755"/>
      <c r="N149" s="755"/>
      <c r="O149" s="755"/>
      <c r="P149" s="1529" t="s">
        <v>575</v>
      </c>
      <c r="Q149" s="738"/>
      <c r="R149" s="1646"/>
      <c r="S149" s="1646"/>
      <c r="T149" s="1370"/>
      <c r="U149" s="1370"/>
      <c r="V149" s="1370"/>
      <c r="W149" s="1370"/>
      <c r="X149" s="1646"/>
      <c r="Y149" s="1370"/>
      <c r="Z149" s="1370"/>
      <c r="AA149" s="740"/>
      <c r="AB149" s="1370"/>
      <c r="AC149" s="1370"/>
      <c r="AD149" s="1370"/>
      <c r="AE149" s="1370"/>
      <c r="AF149" s="1370"/>
      <c r="AG149" s="1636"/>
      <c r="AH149" s="1636"/>
      <c r="AI149" s="1636"/>
      <c r="AJ149" s="1636"/>
      <c r="AK149" s="1636"/>
      <c r="AL149" s="1639">
        <v>0</v>
      </c>
    </row>
    <row s="1854" customFormat="1" customHeight="1" ht="18.75">
      <c r="A150" s="991"/>
      <c r="B150" s="1370"/>
      <c r="C150" s="1646"/>
      <c r="D150" s="687" t="s">
        <v>104</v>
      </c>
      <c r="E150" s="550" t="str">
        <f>E112&amp;".37"</f>
        <v>7.37</v>
      </c>
      <c r="F150" s="544" t="s">
        <v>650</v>
      </c>
      <c r="G150" s="2370" t="s">
        <v>574</v>
      </c>
      <c r="H150" s="755"/>
      <c r="I150" s="755">
        <v>19.5</v>
      </c>
      <c r="J150" s="755"/>
      <c r="K150" s="755"/>
      <c r="L150" s="755"/>
      <c r="M150" s="755"/>
      <c r="N150" s="755"/>
      <c r="O150" s="755"/>
      <c r="P150" s="1529" t="s">
        <v>575</v>
      </c>
      <c r="Q150" s="738"/>
      <c r="R150" s="1646"/>
      <c r="S150" s="1646"/>
      <c r="T150" s="1370"/>
      <c r="U150" s="1370"/>
      <c r="V150" s="1370"/>
      <c r="W150" s="1370"/>
      <c r="X150" s="1646"/>
      <c r="Y150" s="1370"/>
      <c r="Z150" s="1370"/>
      <c r="AA150" s="740"/>
      <c r="AB150" s="1370"/>
      <c r="AC150" s="1370"/>
      <c r="AD150" s="1370"/>
      <c r="AE150" s="1370"/>
      <c r="AF150" s="1370"/>
      <c r="AG150" s="1636"/>
      <c r="AH150" s="1636"/>
      <c r="AI150" s="1636"/>
      <c r="AJ150" s="1636"/>
      <c r="AK150" s="1636"/>
      <c r="AL150" s="1639">
        <v>0</v>
      </c>
    </row>
    <row s="1854" customFormat="1" customHeight="1" ht="18.75">
      <c r="A151" s="991"/>
      <c r="B151" s="1370"/>
      <c r="C151" s="1646"/>
      <c r="D151" s="687" t="s">
        <v>104</v>
      </c>
      <c r="E151" s="550" t="str">
        <f>E112&amp;".38"</f>
        <v>7.38</v>
      </c>
      <c r="F151" s="544" t="s">
        <v>651</v>
      </c>
      <c r="G151" s="2370" t="s">
        <v>574</v>
      </c>
      <c r="H151" s="755"/>
      <c r="I151" s="755">
        <v>25.8</v>
      </c>
      <c r="J151" s="755"/>
      <c r="K151" s="755"/>
      <c r="L151" s="755"/>
      <c r="M151" s="755"/>
      <c r="N151" s="755"/>
      <c r="O151" s="755"/>
      <c r="P151" s="1529" t="s">
        <v>575</v>
      </c>
      <c r="Q151" s="738"/>
      <c r="R151" s="1646"/>
      <c r="S151" s="1646"/>
      <c r="T151" s="1370"/>
      <c r="U151" s="1370"/>
      <c r="V151" s="1370"/>
      <c r="W151" s="1370"/>
      <c r="X151" s="1646"/>
      <c r="Y151" s="1370"/>
      <c r="Z151" s="1370"/>
      <c r="AA151" s="740"/>
      <c r="AB151" s="1370"/>
      <c r="AC151" s="1370"/>
      <c r="AD151" s="1370"/>
      <c r="AE151" s="1370"/>
      <c r="AF151" s="1370"/>
      <c r="AG151" s="1636"/>
      <c r="AH151" s="1636"/>
      <c r="AI151" s="1636"/>
      <c r="AJ151" s="1636"/>
      <c r="AK151" s="1636"/>
      <c r="AL151" s="1639">
        <v>0</v>
      </c>
    </row>
    <row s="1854" customFormat="1" customHeight="1" ht="18.75">
      <c r="A152" s="991"/>
      <c r="B152" s="1370"/>
      <c r="C152" s="1646"/>
      <c r="D152" s="687" t="s">
        <v>104</v>
      </c>
      <c r="E152" s="550" t="str">
        <f>E112&amp;".39"</f>
        <v>7.39</v>
      </c>
      <c r="F152" s="544" t="s">
        <v>652</v>
      </c>
      <c r="G152" s="2370" t="s">
        <v>574</v>
      </c>
      <c r="H152" s="755"/>
      <c r="I152" s="755">
        <v>19.5</v>
      </c>
      <c r="J152" s="755"/>
      <c r="K152" s="755"/>
      <c r="L152" s="755"/>
      <c r="M152" s="755"/>
      <c r="N152" s="755"/>
      <c r="O152" s="755"/>
      <c r="P152" s="1529" t="s">
        <v>575</v>
      </c>
      <c r="Q152" s="738"/>
      <c r="R152" s="1646"/>
      <c r="S152" s="1646"/>
      <c r="T152" s="1370"/>
      <c r="U152" s="1370"/>
      <c r="V152" s="1370"/>
      <c r="W152" s="1370"/>
      <c r="X152" s="1646"/>
      <c r="Y152" s="1370"/>
      <c r="Z152" s="1370"/>
      <c r="AA152" s="740"/>
      <c r="AB152" s="1370"/>
      <c r="AC152" s="1370"/>
      <c r="AD152" s="1370"/>
      <c r="AE152" s="1370"/>
      <c r="AF152" s="1370"/>
      <c r="AG152" s="1636"/>
      <c r="AH152" s="1636"/>
      <c r="AI152" s="1636"/>
      <c r="AJ152" s="1636"/>
      <c r="AK152" s="1636"/>
      <c r="AL152" s="1639">
        <v>0</v>
      </c>
    </row>
    <row s="1854" customFormat="1" customHeight="1" ht="18.75">
      <c r="A153" s="991"/>
      <c r="B153" s="1370"/>
      <c r="C153" s="1646"/>
      <c r="D153" s="687" t="s">
        <v>104</v>
      </c>
      <c r="E153" s="550" t="str">
        <f>E112&amp;".40"</f>
        <v>7.40</v>
      </c>
      <c r="F153" s="544" t="s">
        <v>653</v>
      </c>
      <c r="G153" s="2370" t="s">
        <v>574</v>
      </c>
      <c r="H153" s="755"/>
      <c r="I153" s="755">
        <v>10.4</v>
      </c>
      <c r="J153" s="755"/>
      <c r="K153" s="755"/>
      <c r="L153" s="755"/>
      <c r="M153" s="755"/>
      <c r="N153" s="755"/>
      <c r="O153" s="755"/>
      <c r="P153" s="1529" t="s">
        <v>575</v>
      </c>
      <c r="Q153" s="738"/>
      <c r="R153" s="1646"/>
      <c r="S153" s="1646"/>
      <c r="T153" s="1370"/>
      <c r="U153" s="1370"/>
      <c r="V153" s="1370"/>
      <c r="W153" s="1370"/>
      <c r="X153" s="1646"/>
      <c r="Y153" s="1370"/>
      <c r="Z153" s="1370"/>
      <c r="AA153" s="740"/>
      <c r="AB153" s="1370"/>
      <c r="AC153" s="1370"/>
      <c r="AD153" s="1370"/>
      <c r="AE153" s="1370"/>
      <c r="AF153" s="1370"/>
      <c r="AG153" s="1636"/>
      <c r="AH153" s="1636"/>
      <c r="AI153" s="1636"/>
      <c r="AJ153" s="1636"/>
      <c r="AK153" s="1636"/>
      <c r="AL153" s="1639">
        <v>0</v>
      </c>
    </row>
    <row s="1854" customFormat="1" customHeight="1" ht="18.75">
      <c r="A154" s="991"/>
      <c r="B154" s="1370"/>
      <c r="C154" s="1646"/>
      <c r="D154" s="687" t="s">
        <v>104</v>
      </c>
      <c r="E154" s="550" t="str">
        <f>E112&amp;".41"</f>
        <v>7.41</v>
      </c>
      <c r="F154" s="544" t="s">
        <v>654</v>
      </c>
      <c r="G154" s="2370" t="s">
        <v>574</v>
      </c>
      <c r="H154" s="755"/>
      <c r="I154" s="755">
        <v>19.5</v>
      </c>
      <c r="J154" s="755"/>
      <c r="K154" s="755"/>
      <c r="L154" s="755"/>
      <c r="M154" s="755"/>
      <c r="N154" s="755"/>
      <c r="O154" s="755"/>
      <c r="P154" s="1529" t="s">
        <v>575</v>
      </c>
      <c r="Q154" s="738"/>
      <c r="R154" s="1646"/>
      <c r="S154" s="1646"/>
      <c r="T154" s="1370"/>
      <c r="U154" s="1370"/>
      <c r="V154" s="1370"/>
      <c r="W154" s="1370"/>
      <c r="X154" s="1646"/>
      <c r="Y154" s="1370"/>
      <c r="Z154" s="1370"/>
      <c r="AA154" s="740"/>
      <c r="AB154" s="1370"/>
      <c r="AC154" s="1370"/>
      <c r="AD154" s="1370"/>
      <c r="AE154" s="1370"/>
      <c r="AF154" s="1370"/>
      <c r="AG154" s="1636"/>
      <c r="AH154" s="1636"/>
      <c r="AI154" s="1636"/>
      <c r="AJ154" s="1636"/>
      <c r="AK154" s="1636"/>
      <c r="AL154" s="1639">
        <v>0</v>
      </c>
    </row>
    <row s="1854" customFormat="1" customHeight="1" ht="18.75">
      <c r="A155" s="991"/>
      <c r="B155" s="1370"/>
      <c r="C155" s="1646"/>
      <c r="D155" s="687" t="s">
        <v>104</v>
      </c>
      <c r="E155" s="550" t="str">
        <f>E112&amp;".42"</f>
        <v>7.42</v>
      </c>
      <c r="F155" s="544" t="s">
        <v>655</v>
      </c>
      <c r="G155" s="2370" t="s">
        <v>574</v>
      </c>
      <c r="H155" s="755"/>
      <c r="I155" s="755">
        <v>5</v>
      </c>
      <c r="J155" s="755"/>
      <c r="K155" s="755"/>
      <c r="L155" s="755"/>
      <c r="M155" s="755"/>
      <c r="N155" s="755"/>
      <c r="O155" s="755"/>
      <c r="P155" s="1529" t="s">
        <v>575</v>
      </c>
      <c r="Q155" s="738"/>
      <c r="R155" s="1646"/>
      <c r="S155" s="1646"/>
      <c r="T155" s="1370"/>
      <c r="U155" s="1370"/>
      <c r="V155" s="1370"/>
      <c r="W155" s="1370"/>
      <c r="X155" s="1646"/>
      <c r="Y155" s="1370"/>
      <c r="Z155" s="1370"/>
      <c r="AA155" s="740"/>
      <c r="AB155" s="1370"/>
      <c r="AC155" s="1370"/>
      <c r="AD155" s="1370"/>
      <c r="AE155" s="1370"/>
      <c r="AF155" s="1370"/>
      <c r="AG155" s="1636"/>
      <c r="AH155" s="1636"/>
      <c r="AI155" s="1636"/>
      <c r="AJ155" s="1636"/>
      <c r="AK155" s="1636"/>
      <c r="AL155" s="1639">
        <v>0</v>
      </c>
    </row>
    <row s="1854" customFormat="1" customHeight="1" ht="18.75">
      <c r="A156" s="991"/>
      <c r="B156" s="1370"/>
      <c r="C156" s="1646"/>
      <c r="D156" s="687" t="s">
        <v>104</v>
      </c>
      <c r="E156" s="550" t="str">
        <f>E112&amp;".43"</f>
        <v>7.43</v>
      </c>
      <c r="F156" s="544" t="s">
        <v>656</v>
      </c>
      <c r="G156" s="2370" t="s">
        <v>574</v>
      </c>
      <c r="H156" s="755"/>
      <c r="I156" s="755">
        <v>680</v>
      </c>
      <c r="J156" s="755"/>
      <c r="K156" s="755"/>
      <c r="L156" s="755"/>
      <c r="M156" s="755"/>
      <c r="N156" s="755"/>
      <c r="O156" s="755"/>
      <c r="P156" s="1529" t="s">
        <v>575</v>
      </c>
      <c r="Q156" s="738"/>
      <c r="R156" s="1646"/>
      <c r="S156" s="1646"/>
      <c r="T156" s="1370"/>
      <c r="U156" s="1370"/>
      <c r="V156" s="1370"/>
      <c r="W156" s="1370"/>
      <c r="X156" s="1646"/>
      <c r="Y156" s="1370"/>
      <c r="Z156" s="1370"/>
      <c r="AA156" s="740"/>
      <c r="AB156" s="1370"/>
      <c r="AC156" s="1370"/>
      <c r="AD156" s="1370"/>
      <c r="AE156" s="1370"/>
      <c r="AF156" s="1370"/>
      <c r="AG156" s="1636"/>
      <c r="AH156" s="1636"/>
      <c r="AI156" s="1636"/>
      <c r="AJ156" s="1636"/>
      <c r="AK156" s="1636"/>
      <c r="AL156" s="1639">
        <v>0</v>
      </c>
    </row>
    <row s="1854" customFormat="1" customHeight="1" ht="18.75">
      <c r="A157" s="991"/>
      <c r="B157" s="1370"/>
      <c r="C157" s="1646"/>
      <c r="D157" s="687" t="s">
        <v>104</v>
      </c>
      <c r="E157" s="550" t="str">
        <f>E112&amp;".44"</f>
        <v>7.44</v>
      </c>
      <c r="F157" s="544" t="s">
        <v>657</v>
      </c>
      <c r="G157" s="2370" t="s">
        <v>574</v>
      </c>
      <c r="H157" s="755"/>
      <c r="I157" s="755">
        <v>29.75</v>
      </c>
      <c r="J157" s="755"/>
      <c r="K157" s="755"/>
      <c r="L157" s="755"/>
      <c r="M157" s="755"/>
      <c r="N157" s="755"/>
      <c r="O157" s="755"/>
      <c r="P157" s="1529" t="s">
        <v>575</v>
      </c>
      <c r="Q157" s="738"/>
      <c r="R157" s="1646"/>
      <c r="S157" s="1646"/>
      <c r="T157" s="1370"/>
      <c r="U157" s="1370"/>
      <c r="V157" s="1370"/>
      <c r="W157" s="1370"/>
      <c r="X157" s="1646"/>
      <c r="Y157" s="1370"/>
      <c r="Z157" s="1370"/>
      <c r="AA157" s="740"/>
      <c r="AB157" s="1370"/>
      <c r="AC157" s="1370"/>
      <c r="AD157" s="1370"/>
      <c r="AE157" s="1370"/>
      <c r="AF157" s="1370"/>
      <c r="AG157" s="1636"/>
      <c r="AH157" s="1636"/>
      <c r="AI157" s="1636"/>
      <c r="AJ157" s="1636"/>
      <c r="AK157" s="1636"/>
      <c r="AL157" s="1639">
        <v>0</v>
      </c>
    </row>
    <row s="1854" customFormat="1" customHeight="1" ht="18.75">
      <c r="A158" s="991"/>
      <c r="B158" s="1370"/>
      <c r="C158" s="1646"/>
      <c r="D158" s="687" t="s">
        <v>104</v>
      </c>
      <c r="E158" s="550" t="str">
        <f>E112&amp;".45"</f>
        <v>7.45</v>
      </c>
      <c r="F158" s="544" t="s">
        <v>658</v>
      </c>
      <c r="G158" s="2370" t="s">
        <v>574</v>
      </c>
      <c r="H158" s="755"/>
      <c r="I158" s="755">
        <v>9.46</v>
      </c>
      <c r="J158" s="755"/>
      <c r="K158" s="755"/>
      <c r="L158" s="755"/>
      <c r="M158" s="755"/>
      <c r="N158" s="755"/>
      <c r="O158" s="755"/>
      <c r="P158" s="1529" t="s">
        <v>575</v>
      </c>
      <c r="Q158" s="738"/>
      <c r="R158" s="1646"/>
      <c r="S158" s="1646"/>
      <c r="T158" s="1370"/>
      <c r="U158" s="1370"/>
      <c r="V158" s="1370"/>
      <c r="W158" s="1370"/>
      <c r="X158" s="1646"/>
      <c r="Y158" s="1370"/>
      <c r="Z158" s="1370"/>
      <c r="AA158" s="740"/>
      <c r="AB158" s="1370"/>
      <c r="AC158" s="1370"/>
      <c r="AD158" s="1370"/>
      <c r="AE158" s="1370"/>
      <c r="AF158" s="1370"/>
      <c r="AG158" s="1636"/>
      <c r="AH158" s="1636"/>
      <c r="AI158" s="1636"/>
      <c r="AJ158" s="1636"/>
      <c r="AK158" s="1636"/>
      <c r="AL158" s="1639">
        <v>0</v>
      </c>
    </row>
    <row s="1854" customFormat="1" customHeight="1" ht="18.75">
      <c r="A159" s="991"/>
      <c r="B159" s="1370"/>
      <c r="C159" s="1646"/>
      <c r="D159" s="687" t="s">
        <v>104</v>
      </c>
      <c r="E159" s="550" t="str">
        <f>E112&amp;".46"</f>
        <v>7.46</v>
      </c>
      <c r="F159" s="544" t="s">
        <v>659</v>
      </c>
      <c r="G159" s="2370" t="s">
        <v>574</v>
      </c>
      <c r="H159" s="755"/>
      <c r="I159" s="755">
        <v>2.06</v>
      </c>
      <c r="J159" s="755"/>
      <c r="K159" s="755"/>
      <c r="L159" s="755"/>
      <c r="M159" s="755"/>
      <c r="N159" s="755"/>
      <c r="O159" s="755"/>
      <c r="P159" s="1529" t="s">
        <v>575</v>
      </c>
      <c r="Q159" s="738"/>
      <c r="R159" s="1646"/>
      <c r="S159" s="1646"/>
      <c r="T159" s="1370"/>
      <c r="U159" s="1370"/>
      <c r="V159" s="1370"/>
      <c r="W159" s="1370"/>
      <c r="X159" s="1646"/>
      <c r="Y159" s="1370"/>
      <c r="Z159" s="1370"/>
      <c r="AA159" s="740"/>
      <c r="AB159" s="1370"/>
      <c r="AC159" s="1370"/>
      <c r="AD159" s="1370"/>
      <c r="AE159" s="1370"/>
      <c r="AF159" s="1370"/>
      <c r="AG159" s="1636"/>
      <c r="AH159" s="1636"/>
      <c r="AI159" s="1636"/>
      <c r="AJ159" s="1636"/>
      <c r="AK159" s="1636"/>
      <c r="AL159" s="1639">
        <v>0</v>
      </c>
    </row>
    <row s="1854" customFormat="1" customHeight="1" ht="18.75">
      <c r="A160" s="991"/>
      <c r="B160" s="1370"/>
      <c r="C160" s="1646"/>
      <c r="D160" s="687" t="s">
        <v>104</v>
      </c>
      <c r="E160" s="550" t="str">
        <f>E112&amp;".47"</f>
        <v>7.47</v>
      </c>
      <c r="F160" s="544" t="s">
        <v>660</v>
      </c>
      <c r="G160" s="2370" t="s">
        <v>574</v>
      </c>
      <c r="H160" s="755"/>
      <c r="I160" s="755">
        <v>33.2</v>
      </c>
      <c r="J160" s="755"/>
      <c r="K160" s="755"/>
      <c r="L160" s="755"/>
      <c r="M160" s="755"/>
      <c r="N160" s="755"/>
      <c r="O160" s="755"/>
      <c r="P160" s="1529" t="s">
        <v>575</v>
      </c>
      <c r="Q160" s="738"/>
      <c r="R160" s="1646"/>
      <c r="S160" s="1646"/>
      <c r="T160" s="1370"/>
      <c r="U160" s="1370"/>
      <c r="V160" s="1370"/>
      <c r="W160" s="1370"/>
      <c r="X160" s="1646"/>
      <c r="Y160" s="1370"/>
      <c r="Z160" s="1370"/>
      <c r="AA160" s="740"/>
      <c r="AB160" s="1370"/>
      <c r="AC160" s="1370"/>
      <c r="AD160" s="1370"/>
      <c r="AE160" s="1370"/>
      <c r="AF160" s="1370"/>
      <c r="AG160" s="1636"/>
      <c r="AH160" s="1636"/>
      <c r="AI160" s="1636"/>
      <c r="AJ160" s="1636"/>
      <c r="AK160" s="1636"/>
      <c r="AL160" s="1639">
        <v>0</v>
      </c>
    </row>
    <row s="1854" customFormat="1" customHeight="1" ht="18.75">
      <c r="A161" s="991"/>
      <c r="B161" s="1370"/>
      <c r="C161" s="1646"/>
      <c r="D161" s="687" t="s">
        <v>104</v>
      </c>
      <c r="E161" s="550" t="str">
        <f>E112&amp;".48"</f>
        <v>7.48</v>
      </c>
      <c r="F161" s="544" t="s">
        <v>661</v>
      </c>
      <c r="G161" s="2370" t="s">
        <v>574</v>
      </c>
      <c r="H161" s="755"/>
      <c r="I161" s="755">
        <v>33.2</v>
      </c>
      <c r="J161" s="755"/>
      <c r="K161" s="755"/>
      <c r="L161" s="755"/>
      <c r="M161" s="755"/>
      <c r="N161" s="755"/>
      <c r="O161" s="755"/>
      <c r="P161" s="1529" t="s">
        <v>575</v>
      </c>
      <c r="Q161" s="738"/>
      <c r="R161" s="1646"/>
      <c r="S161" s="1646"/>
      <c r="T161" s="1370"/>
      <c r="U161" s="1370"/>
      <c r="V161" s="1370"/>
      <c r="W161" s="1370"/>
      <c r="X161" s="1646"/>
      <c r="Y161" s="1370"/>
      <c r="Z161" s="1370"/>
      <c r="AA161" s="740"/>
      <c r="AB161" s="1370"/>
      <c r="AC161" s="1370"/>
      <c r="AD161" s="1370"/>
      <c r="AE161" s="1370"/>
      <c r="AF161" s="1370"/>
      <c r="AG161" s="1636"/>
      <c r="AH161" s="1636"/>
      <c r="AI161" s="1636"/>
      <c r="AJ161" s="1636"/>
      <c r="AK161" s="1636"/>
      <c r="AL161" s="1639">
        <v>0</v>
      </c>
    </row>
    <row s="1854" customFormat="1" customHeight="1" ht="18.75">
      <c r="A162" s="991"/>
      <c r="B162" s="1370"/>
      <c r="C162" s="1646"/>
      <c r="D162" s="687" t="s">
        <v>104</v>
      </c>
      <c r="E162" s="550" t="str">
        <f>E112&amp;".49"</f>
        <v>7.49</v>
      </c>
      <c r="F162" s="544" t="s">
        <v>662</v>
      </c>
      <c r="G162" s="2370" t="s">
        <v>574</v>
      </c>
      <c r="H162" s="755"/>
      <c r="I162" s="755">
        <v>17.2</v>
      </c>
      <c r="J162" s="755"/>
      <c r="K162" s="755"/>
      <c r="L162" s="755"/>
      <c r="M162" s="755"/>
      <c r="N162" s="755"/>
      <c r="O162" s="755"/>
      <c r="P162" s="1529" t="s">
        <v>575</v>
      </c>
      <c r="Q162" s="738"/>
      <c r="R162" s="1646"/>
      <c r="S162" s="1646"/>
      <c r="T162" s="1370"/>
      <c r="U162" s="1370"/>
      <c r="V162" s="1370"/>
      <c r="W162" s="1370"/>
      <c r="X162" s="1646"/>
      <c r="Y162" s="1370"/>
      <c r="Z162" s="1370"/>
      <c r="AA162" s="740"/>
      <c r="AB162" s="1370"/>
      <c r="AC162" s="1370"/>
      <c r="AD162" s="1370"/>
      <c r="AE162" s="1370"/>
      <c r="AF162" s="1370"/>
      <c r="AG162" s="1636"/>
      <c r="AH162" s="1636"/>
      <c r="AI162" s="1636"/>
      <c r="AJ162" s="1636"/>
      <c r="AK162" s="1636"/>
      <c r="AL162" s="1639">
        <v>0</v>
      </c>
    </row>
    <row s="1854" customFormat="1" customHeight="1" ht="18.75">
      <c r="A163" s="991"/>
      <c r="B163" s="1370"/>
      <c r="C163" s="1646"/>
      <c r="D163" s="687" t="s">
        <v>104</v>
      </c>
      <c r="E163" s="550" t="str">
        <f>E112&amp;".50"</f>
        <v>7.50</v>
      </c>
      <c r="F163" s="544" t="s">
        <v>663</v>
      </c>
      <c r="G163" s="2370" t="s">
        <v>574</v>
      </c>
      <c r="H163" s="755"/>
      <c r="I163" s="755">
        <v>19.59</v>
      </c>
      <c r="J163" s="755"/>
      <c r="K163" s="755"/>
      <c r="L163" s="755"/>
      <c r="M163" s="755"/>
      <c r="N163" s="755"/>
      <c r="O163" s="755"/>
      <c r="P163" s="1529" t="s">
        <v>575</v>
      </c>
      <c r="Q163" s="738"/>
      <c r="R163" s="1646"/>
      <c r="S163" s="1646"/>
      <c r="T163" s="1370"/>
      <c r="U163" s="1370"/>
      <c r="V163" s="1370"/>
      <c r="W163" s="1370"/>
      <c r="X163" s="1646"/>
      <c r="Y163" s="1370"/>
      <c r="Z163" s="1370"/>
      <c r="AA163" s="740"/>
      <c r="AB163" s="1370"/>
      <c r="AC163" s="1370"/>
      <c r="AD163" s="1370"/>
      <c r="AE163" s="1370"/>
      <c r="AF163" s="1370"/>
      <c r="AG163" s="1636"/>
      <c r="AH163" s="1636"/>
      <c r="AI163" s="1636"/>
      <c r="AJ163" s="1636"/>
      <c r="AK163" s="1636"/>
      <c r="AL163" s="1639">
        <v>0</v>
      </c>
    </row>
    <row s="1854" customFormat="1" customHeight="1" ht="18.75">
      <c r="A164" s="991"/>
      <c r="B164" s="1370"/>
      <c r="C164" s="1646"/>
      <c r="D164" s="687" t="s">
        <v>104</v>
      </c>
      <c r="E164" s="550" t="str">
        <f>E112&amp;".51"</f>
        <v>7.51</v>
      </c>
      <c r="F164" s="544" t="s">
        <v>664</v>
      </c>
      <c r="G164" s="2370" t="s">
        <v>574</v>
      </c>
      <c r="H164" s="755"/>
      <c r="I164" s="755">
        <v>15.6</v>
      </c>
      <c r="J164" s="755"/>
      <c r="K164" s="755"/>
      <c r="L164" s="755"/>
      <c r="M164" s="755"/>
      <c r="N164" s="755"/>
      <c r="O164" s="755"/>
      <c r="P164" s="1529" t="s">
        <v>575</v>
      </c>
      <c r="Q164" s="738"/>
      <c r="R164" s="1646"/>
      <c r="S164" s="1646"/>
      <c r="T164" s="1370"/>
      <c r="U164" s="1370"/>
      <c r="V164" s="1370"/>
      <c r="W164" s="1370"/>
      <c r="X164" s="1646"/>
      <c r="Y164" s="1370"/>
      <c r="Z164" s="1370"/>
      <c r="AA164" s="740"/>
      <c r="AB164" s="1370"/>
      <c r="AC164" s="1370"/>
      <c r="AD164" s="1370"/>
      <c r="AE164" s="1370"/>
      <c r="AF164" s="1370"/>
      <c r="AG164" s="1636"/>
      <c r="AH164" s="1636"/>
      <c r="AI164" s="1636"/>
      <c r="AJ164" s="1636"/>
      <c r="AK164" s="1636"/>
      <c r="AL164" s="1639">
        <v>0</v>
      </c>
    </row>
    <row s="1854" customFormat="1" customHeight="1" ht="18.75">
      <c r="A165" s="991"/>
      <c r="B165" s="1370"/>
      <c r="C165" s="1646"/>
      <c r="D165" s="687" t="s">
        <v>104</v>
      </c>
      <c r="E165" s="550" t="str">
        <f>E112&amp;".52"</f>
        <v>7.52</v>
      </c>
      <c r="F165" s="544" t="s">
        <v>665</v>
      </c>
      <c r="G165" s="2370" t="s">
        <v>574</v>
      </c>
      <c r="H165" s="755"/>
      <c r="I165" s="755">
        <v>6.13</v>
      </c>
      <c r="J165" s="755"/>
      <c r="K165" s="755"/>
      <c r="L165" s="755"/>
      <c r="M165" s="755"/>
      <c r="N165" s="755"/>
      <c r="O165" s="755"/>
      <c r="P165" s="1529" t="s">
        <v>575</v>
      </c>
      <c r="Q165" s="738"/>
      <c r="R165" s="1646"/>
      <c r="S165" s="1646"/>
      <c r="T165" s="1370"/>
      <c r="U165" s="1370"/>
      <c r="V165" s="1370"/>
      <c r="W165" s="1370"/>
      <c r="X165" s="1646"/>
      <c r="Y165" s="1370"/>
      <c r="Z165" s="1370"/>
      <c r="AA165" s="740"/>
      <c r="AB165" s="1370"/>
      <c r="AC165" s="1370"/>
      <c r="AD165" s="1370"/>
      <c r="AE165" s="1370"/>
      <c r="AF165" s="1370"/>
      <c r="AG165" s="1636"/>
      <c r="AH165" s="1636"/>
      <c r="AI165" s="1636"/>
      <c r="AJ165" s="1636"/>
      <c r="AK165" s="1636"/>
      <c r="AL165" s="1639">
        <v>0</v>
      </c>
    </row>
    <row s="1854" customFormat="1" customHeight="1" ht="18.75">
      <c r="A166" s="991"/>
      <c r="B166" s="1370"/>
      <c r="C166" s="1646"/>
      <c r="D166" s="687" t="s">
        <v>104</v>
      </c>
      <c r="E166" s="550" t="str">
        <f>E112&amp;".53"</f>
        <v>7.53</v>
      </c>
      <c r="F166" s="544" t="s">
        <v>666</v>
      </c>
      <c r="G166" s="2370" t="s">
        <v>574</v>
      </c>
      <c r="H166" s="755"/>
      <c r="I166" s="755">
        <v>5.16</v>
      </c>
      <c r="J166" s="755"/>
      <c r="K166" s="755"/>
      <c r="L166" s="755"/>
      <c r="M166" s="755"/>
      <c r="N166" s="755"/>
      <c r="O166" s="755"/>
      <c r="P166" s="1529" t="s">
        <v>575</v>
      </c>
      <c r="Q166" s="738"/>
      <c r="R166" s="1646"/>
      <c r="S166" s="1646"/>
      <c r="T166" s="1370"/>
      <c r="U166" s="1370"/>
      <c r="V166" s="1370"/>
      <c r="W166" s="1370"/>
      <c r="X166" s="1646"/>
      <c r="Y166" s="1370"/>
      <c r="Z166" s="1370"/>
      <c r="AA166" s="740"/>
      <c r="AB166" s="1370"/>
      <c r="AC166" s="1370"/>
      <c r="AD166" s="1370"/>
      <c r="AE166" s="1370"/>
      <c r="AF166" s="1370"/>
      <c r="AG166" s="1636"/>
      <c r="AH166" s="1636"/>
      <c r="AI166" s="1636"/>
      <c r="AJ166" s="1636"/>
      <c r="AK166" s="1636"/>
      <c r="AL166" s="1639">
        <v>0</v>
      </c>
    </row>
    <row s="1854" customFormat="1" customHeight="1" ht="18.75">
      <c r="A167" s="991"/>
      <c r="B167" s="1370"/>
      <c r="C167" s="1646"/>
      <c r="D167" s="687" t="s">
        <v>104</v>
      </c>
      <c r="E167" s="550" t="str">
        <f>E112&amp;".54"</f>
        <v>7.54</v>
      </c>
      <c r="F167" s="544" t="s">
        <v>667</v>
      </c>
      <c r="G167" s="2370" t="s">
        <v>574</v>
      </c>
      <c r="H167" s="755"/>
      <c r="I167" s="755">
        <v>5.24</v>
      </c>
      <c r="J167" s="755"/>
      <c r="K167" s="755"/>
      <c r="L167" s="755"/>
      <c r="M167" s="755"/>
      <c r="N167" s="755"/>
      <c r="O167" s="755"/>
      <c r="P167" s="1529" t="s">
        <v>575</v>
      </c>
      <c r="Q167" s="738"/>
      <c r="R167" s="1646"/>
      <c r="S167" s="1646"/>
      <c r="T167" s="1370"/>
      <c r="U167" s="1370"/>
      <c r="V167" s="1370"/>
      <c r="W167" s="1370"/>
      <c r="X167" s="1646"/>
      <c r="Y167" s="1370"/>
      <c r="Z167" s="1370"/>
      <c r="AA167" s="740"/>
      <c r="AB167" s="1370"/>
      <c r="AC167" s="1370"/>
      <c r="AD167" s="1370"/>
      <c r="AE167" s="1370"/>
      <c r="AF167" s="1370"/>
      <c r="AG167" s="1636"/>
      <c r="AH167" s="1636"/>
      <c r="AI167" s="1636"/>
      <c r="AJ167" s="1636"/>
      <c r="AK167" s="1636"/>
      <c r="AL167" s="1639">
        <v>0</v>
      </c>
    </row>
    <row s="1854" customFormat="1" customHeight="1" ht="18.75">
      <c r="A168" s="991"/>
      <c r="B168" s="1370"/>
      <c r="C168" s="1646"/>
      <c r="D168" s="687" t="s">
        <v>104</v>
      </c>
      <c r="E168" s="550" t="str">
        <f>E112&amp;".55"</f>
        <v>7.55</v>
      </c>
      <c r="F168" s="544" t="s">
        <v>668</v>
      </c>
      <c r="G168" s="2370" t="s">
        <v>574</v>
      </c>
      <c r="H168" s="755"/>
      <c r="I168" s="755">
        <v>46.5</v>
      </c>
      <c r="J168" s="755"/>
      <c r="K168" s="755"/>
      <c r="L168" s="755"/>
      <c r="M168" s="755"/>
      <c r="N168" s="755"/>
      <c r="O168" s="755"/>
      <c r="P168" s="1529" t="s">
        <v>575</v>
      </c>
      <c r="Q168" s="738"/>
      <c r="R168" s="1646"/>
      <c r="S168" s="1646"/>
      <c r="T168" s="1370"/>
      <c r="U168" s="1370"/>
      <c r="V168" s="1370"/>
      <c r="W168" s="1370"/>
      <c r="X168" s="1646"/>
      <c r="Y168" s="1370"/>
      <c r="Z168" s="1370"/>
      <c r="AA168" s="740"/>
      <c r="AB168" s="1370"/>
      <c r="AC168" s="1370"/>
      <c r="AD168" s="1370"/>
      <c r="AE168" s="1370"/>
      <c r="AF168" s="1370"/>
      <c r="AG168" s="1636"/>
      <c r="AH168" s="1636"/>
      <c r="AI168" s="1636"/>
      <c r="AJ168" s="1636"/>
      <c r="AK168" s="1636"/>
      <c r="AL168" s="1639">
        <v>0</v>
      </c>
    </row>
    <row s="1854" customFormat="1" customHeight="1" ht="18.75">
      <c r="A169" s="991"/>
      <c r="B169" s="1370"/>
      <c r="C169" s="1646"/>
      <c r="D169" s="687" t="s">
        <v>104</v>
      </c>
      <c r="E169" s="550" t="str">
        <f>E112&amp;".56"</f>
        <v>7.56</v>
      </c>
      <c r="F169" s="544" t="s">
        <v>669</v>
      </c>
      <c r="G169" s="2370" t="s">
        <v>574</v>
      </c>
      <c r="H169" s="755"/>
      <c r="I169" s="755">
        <v>25</v>
      </c>
      <c r="J169" s="755"/>
      <c r="K169" s="755"/>
      <c r="L169" s="755"/>
      <c r="M169" s="755"/>
      <c r="N169" s="755"/>
      <c r="O169" s="755"/>
      <c r="P169" s="1529" t="s">
        <v>575</v>
      </c>
      <c r="Q169" s="738"/>
      <c r="R169" s="1646"/>
      <c r="S169" s="1646"/>
      <c r="T169" s="1370"/>
      <c r="U169" s="1370"/>
      <c r="V169" s="1370"/>
      <c r="W169" s="1370"/>
      <c r="X169" s="1646"/>
      <c r="Y169" s="1370"/>
      <c r="Z169" s="1370"/>
      <c r="AA169" s="740"/>
      <c r="AB169" s="1370"/>
      <c r="AC169" s="1370"/>
      <c r="AD169" s="1370"/>
      <c r="AE169" s="1370"/>
      <c r="AF169" s="1370"/>
      <c r="AG169" s="1636"/>
      <c r="AH169" s="1636"/>
      <c r="AI169" s="1636"/>
      <c r="AJ169" s="1636"/>
      <c r="AK169" s="1636"/>
      <c r="AL169" s="1639">
        <v>0</v>
      </c>
    </row>
    <row s="1854" customFormat="1" customHeight="1" ht="18.75">
      <c r="A170" s="991"/>
      <c r="B170" s="1370"/>
      <c r="C170" s="1646"/>
      <c r="D170" s="687" t="s">
        <v>104</v>
      </c>
      <c r="E170" s="550" t="str">
        <f>E112&amp;".57"</f>
        <v>7.57</v>
      </c>
      <c r="F170" s="544" t="s">
        <v>670</v>
      </c>
      <c r="G170" s="2370" t="s">
        <v>574</v>
      </c>
      <c r="H170" s="755"/>
      <c r="I170" s="755">
        <v>12.6</v>
      </c>
      <c r="J170" s="755"/>
      <c r="K170" s="755"/>
      <c r="L170" s="755"/>
      <c r="M170" s="755"/>
      <c r="N170" s="755"/>
      <c r="O170" s="755"/>
      <c r="P170" s="1529" t="s">
        <v>575</v>
      </c>
      <c r="Q170" s="738"/>
      <c r="R170" s="1646"/>
      <c r="S170" s="1646"/>
      <c r="T170" s="1370"/>
      <c r="U170" s="1370"/>
      <c r="V170" s="1370"/>
      <c r="W170" s="1370"/>
      <c r="X170" s="1646"/>
      <c r="Y170" s="1370"/>
      <c r="Z170" s="1370"/>
      <c r="AA170" s="740"/>
      <c r="AB170" s="1370"/>
      <c r="AC170" s="1370"/>
      <c r="AD170" s="1370"/>
      <c r="AE170" s="1370"/>
      <c r="AF170" s="1370"/>
      <c r="AG170" s="1636"/>
      <c r="AH170" s="1636"/>
      <c r="AI170" s="1636"/>
      <c r="AJ170" s="1636"/>
      <c r="AK170" s="1636"/>
      <c r="AL170" s="1639">
        <v>0</v>
      </c>
    </row>
    <row s="1854" customFormat="1" customHeight="1" ht="18.75">
      <c r="A171" s="991"/>
      <c r="B171" s="1370"/>
      <c r="C171" s="1646"/>
      <c r="D171" s="687" t="s">
        <v>104</v>
      </c>
      <c r="E171" s="550" t="str">
        <f>E112&amp;".58"</f>
        <v>7.58</v>
      </c>
      <c r="F171" s="544" t="s">
        <v>671</v>
      </c>
      <c r="G171" s="2370" t="s">
        <v>574</v>
      </c>
      <c r="H171" s="755"/>
      <c r="I171" s="755">
        <v>12.72</v>
      </c>
      <c r="J171" s="755"/>
      <c r="K171" s="755"/>
      <c r="L171" s="755"/>
      <c r="M171" s="755"/>
      <c r="N171" s="755"/>
      <c r="O171" s="755"/>
      <c r="P171" s="1529" t="s">
        <v>575</v>
      </c>
      <c r="Q171" s="738"/>
      <c r="R171" s="1646"/>
      <c r="S171" s="1646"/>
      <c r="T171" s="1370"/>
      <c r="U171" s="1370"/>
      <c r="V171" s="1370"/>
      <c r="W171" s="1370"/>
      <c r="X171" s="1646"/>
      <c r="Y171" s="1370"/>
      <c r="Z171" s="1370"/>
      <c r="AA171" s="740"/>
      <c r="AB171" s="1370"/>
      <c r="AC171" s="1370"/>
      <c r="AD171" s="1370"/>
      <c r="AE171" s="1370"/>
      <c r="AF171" s="1370"/>
      <c r="AG171" s="1636"/>
      <c r="AH171" s="1636"/>
      <c r="AI171" s="1636"/>
      <c r="AJ171" s="1636"/>
      <c r="AK171" s="1636"/>
      <c r="AL171" s="1639">
        <v>0</v>
      </c>
    </row>
    <row s="1854" customFormat="1" customHeight="1" ht="18.75">
      <c r="A172" s="991"/>
      <c r="B172" s="1370"/>
      <c r="C172" s="1646"/>
      <c r="D172" s="687" t="s">
        <v>104</v>
      </c>
      <c r="E172" s="550" t="str">
        <f>E112&amp;".59"</f>
        <v>7.59</v>
      </c>
      <c r="F172" s="544" t="s">
        <v>672</v>
      </c>
      <c r="G172" s="2370" t="s">
        <v>574</v>
      </c>
      <c r="H172" s="755"/>
      <c r="I172" s="755">
        <v>31.9</v>
      </c>
      <c r="J172" s="755"/>
      <c r="K172" s="755"/>
      <c r="L172" s="755"/>
      <c r="M172" s="755"/>
      <c r="N172" s="755"/>
      <c r="O172" s="755"/>
      <c r="P172" s="1529" t="s">
        <v>575</v>
      </c>
      <c r="Q172" s="738"/>
      <c r="R172" s="1646"/>
      <c r="S172" s="1646"/>
      <c r="T172" s="1370"/>
      <c r="U172" s="1370"/>
      <c r="V172" s="1370"/>
      <c r="W172" s="1370"/>
      <c r="X172" s="1646"/>
      <c r="Y172" s="1370"/>
      <c r="Z172" s="1370"/>
      <c r="AA172" s="740"/>
      <c r="AB172" s="1370"/>
      <c r="AC172" s="1370"/>
      <c r="AD172" s="1370"/>
      <c r="AE172" s="1370"/>
      <c r="AF172" s="1370"/>
      <c r="AG172" s="1636"/>
      <c r="AH172" s="1636"/>
      <c r="AI172" s="1636"/>
      <c r="AJ172" s="1636"/>
      <c r="AK172" s="1636"/>
      <c r="AL172" s="1639">
        <v>0</v>
      </c>
    </row>
    <row s="1854" customFormat="1" customHeight="1" ht="18.75">
      <c r="A173" s="991"/>
      <c r="B173" s="1370"/>
      <c r="C173" s="1646"/>
      <c r="D173" s="687" t="s">
        <v>104</v>
      </c>
      <c r="E173" s="550" t="str">
        <f>E112&amp;".60"</f>
        <v>7.60</v>
      </c>
      <c r="F173" s="544" t="s">
        <v>673</v>
      </c>
      <c r="G173" s="2370" t="s">
        <v>574</v>
      </c>
      <c r="H173" s="755"/>
      <c r="I173" s="755">
        <v>6.45</v>
      </c>
      <c r="J173" s="755"/>
      <c r="K173" s="755"/>
      <c r="L173" s="755"/>
      <c r="M173" s="755"/>
      <c r="N173" s="755"/>
      <c r="O173" s="755"/>
      <c r="P173" s="1529" t="s">
        <v>575</v>
      </c>
      <c r="Q173" s="738"/>
      <c r="R173" s="1646"/>
      <c r="S173" s="1646"/>
      <c r="T173" s="1370"/>
      <c r="U173" s="1370"/>
      <c r="V173" s="1370"/>
      <c r="W173" s="1370"/>
      <c r="X173" s="1646"/>
      <c r="Y173" s="1370"/>
      <c r="Z173" s="1370"/>
      <c r="AA173" s="740"/>
      <c r="AB173" s="1370"/>
      <c r="AC173" s="1370"/>
      <c r="AD173" s="1370"/>
      <c r="AE173" s="1370"/>
      <c r="AF173" s="1370"/>
      <c r="AG173" s="1636"/>
      <c r="AH173" s="1636"/>
      <c r="AI173" s="1636"/>
      <c r="AJ173" s="1636"/>
      <c r="AK173" s="1636"/>
      <c r="AL173" s="1639">
        <v>0</v>
      </c>
    </row>
    <row s="1854" customFormat="1" customHeight="1" ht="18.75">
      <c r="A174" s="991"/>
      <c r="B174" s="1370"/>
      <c r="C174" s="1646"/>
      <c r="D174" s="687" t="s">
        <v>104</v>
      </c>
      <c r="E174" s="550" t="str">
        <f>E112&amp;".61"</f>
        <v>7.61</v>
      </c>
      <c r="F174" s="544" t="s">
        <v>674</v>
      </c>
      <c r="G174" s="2370" t="s">
        <v>574</v>
      </c>
      <c r="H174" s="755"/>
      <c r="I174" s="755">
        <v>3.35</v>
      </c>
      <c r="J174" s="755"/>
      <c r="K174" s="755"/>
      <c r="L174" s="755"/>
      <c r="M174" s="755"/>
      <c r="N174" s="755"/>
      <c r="O174" s="755"/>
      <c r="P174" s="1529" t="s">
        <v>575</v>
      </c>
      <c r="Q174" s="738"/>
      <c r="R174" s="1646"/>
      <c r="S174" s="1646"/>
      <c r="T174" s="1370"/>
      <c r="U174" s="1370"/>
      <c r="V174" s="1370"/>
      <c r="W174" s="1370"/>
      <c r="X174" s="1646"/>
      <c r="Y174" s="1370"/>
      <c r="Z174" s="1370"/>
      <c r="AA174" s="740"/>
      <c r="AB174" s="1370"/>
      <c r="AC174" s="1370"/>
      <c r="AD174" s="1370"/>
      <c r="AE174" s="1370"/>
      <c r="AF174" s="1370"/>
      <c r="AG174" s="1636"/>
      <c r="AH174" s="1636"/>
      <c r="AI174" s="1636"/>
      <c r="AJ174" s="1636"/>
      <c r="AK174" s="1636"/>
      <c r="AL174" s="1639">
        <v>0</v>
      </c>
    </row>
    <row s="1854" customFormat="1" customHeight="1" ht="18.75">
      <c r="A175" s="991"/>
      <c r="B175" s="1370"/>
      <c r="C175" s="1646"/>
      <c r="D175" s="687" t="s">
        <v>104</v>
      </c>
      <c r="E175" s="550" t="str">
        <f>E112&amp;".62"</f>
        <v>7.62</v>
      </c>
      <c r="F175" s="544" t="s">
        <v>675</v>
      </c>
      <c r="G175" s="2370" t="s">
        <v>574</v>
      </c>
      <c r="H175" s="755"/>
      <c r="I175" s="755">
        <v>13.42</v>
      </c>
      <c r="J175" s="755"/>
      <c r="K175" s="755"/>
      <c r="L175" s="755"/>
      <c r="M175" s="755"/>
      <c r="N175" s="755"/>
      <c r="O175" s="755"/>
      <c r="P175" s="1529" t="s">
        <v>575</v>
      </c>
      <c r="Q175" s="738"/>
      <c r="R175" s="1646"/>
      <c r="S175" s="1646"/>
      <c r="T175" s="1370"/>
      <c r="U175" s="1370"/>
      <c r="V175" s="1370"/>
      <c r="W175" s="1370"/>
      <c r="X175" s="1646"/>
      <c r="Y175" s="1370"/>
      <c r="Z175" s="1370"/>
      <c r="AA175" s="740"/>
      <c r="AB175" s="1370"/>
      <c r="AC175" s="1370"/>
      <c r="AD175" s="1370"/>
      <c r="AE175" s="1370"/>
      <c r="AF175" s="1370"/>
      <c r="AG175" s="1636"/>
      <c r="AH175" s="1636"/>
      <c r="AI175" s="1636"/>
      <c r="AJ175" s="1636"/>
      <c r="AK175" s="1636"/>
      <c r="AL175" s="1639">
        <v>0</v>
      </c>
    </row>
    <row s="1854" customFormat="1" customHeight="1" ht="18.75">
      <c r="A176" s="991"/>
      <c r="B176" s="1370"/>
      <c r="C176" s="1646"/>
      <c r="D176" s="687" t="s">
        <v>104</v>
      </c>
      <c r="E176" s="550" t="str">
        <f>E112&amp;".63"</f>
        <v>7.63</v>
      </c>
      <c r="F176" s="544" t="s">
        <v>676</v>
      </c>
      <c r="G176" s="2370" t="s">
        <v>574</v>
      </c>
      <c r="H176" s="755"/>
      <c r="I176" s="755">
        <v>3.39</v>
      </c>
      <c r="J176" s="755"/>
      <c r="K176" s="755"/>
      <c r="L176" s="755"/>
      <c r="M176" s="755"/>
      <c r="N176" s="755"/>
      <c r="O176" s="755"/>
      <c r="P176" s="1529" t="s">
        <v>575</v>
      </c>
      <c r="Q176" s="738"/>
      <c r="R176" s="1646"/>
      <c r="S176" s="1646"/>
      <c r="T176" s="1370"/>
      <c r="U176" s="1370"/>
      <c r="V176" s="1370"/>
      <c r="W176" s="1370"/>
      <c r="X176" s="1646"/>
      <c r="Y176" s="1370"/>
      <c r="Z176" s="1370"/>
      <c r="AA176" s="740"/>
      <c r="AB176" s="1370"/>
      <c r="AC176" s="1370"/>
      <c r="AD176" s="1370"/>
      <c r="AE176" s="1370"/>
      <c r="AF176" s="1370"/>
      <c r="AG176" s="1636"/>
      <c r="AH176" s="1636"/>
      <c r="AI176" s="1636"/>
      <c r="AJ176" s="1636"/>
      <c r="AK176" s="1636"/>
      <c r="AL176" s="1639">
        <v>0</v>
      </c>
    </row>
    <row s="1854" customFormat="1" customHeight="1" ht="18.75">
      <c r="A177" s="991"/>
      <c r="B177" s="1370"/>
      <c r="C177" s="1646"/>
      <c r="D177" s="687" t="s">
        <v>104</v>
      </c>
      <c r="E177" s="550" t="str">
        <f>E112&amp;".64"</f>
        <v>7.64</v>
      </c>
      <c r="F177" s="544" t="s">
        <v>677</v>
      </c>
      <c r="G177" s="2370" t="s">
        <v>574</v>
      </c>
      <c r="H177" s="755"/>
      <c r="I177" s="755">
        <v>8.65</v>
      </c>
      <c r="J177" s="755"/>
      <c r="K177" s="755"/>
      <c r="L177" s="755"/>
      <c r="M177" s="755"/>
      <c r="N177" s="755"/>
      <c r="O177" s="755"/>
      <c r="P177" s="1529" t="s">
        <v>575</v>
      </c>
      <c r="Q177" s="738"/>
      <c r="R177" s="1646"/>
      <c r="S177" s="1646"/>
      <c r="T177" s="1370"/>
      <c r="U177" s="1370"/>
      <c r="V177" s="1370"/>
      <c r="W177" s="1370"/>
      <c r="X177" s="1646"/>
      <c r="Y177" s="1370"/>
      <c r="Z177" s="1370"/>
      <c r="AA177" s="740"/>
      <c r="AB177" s="1370"/>
      <c r="AC177" s="1370"/>
      <c r="AD177" s="1370"/>
      <c r="AE177" s="1370"/>
      <c r="AF177" s="1370"/>
      <c r="AG177" s="1636"/>
      <c r="AH177" s="1636"/>
      <c r="AI177" s="1636"/>
      <c r="AJ177" s="1636"/>
      <c r="AK177" s="1636"/>
      <c r="AL177" s="1639">
        <v>0</v>
      </c>
    </row>
    <row s="1854" customFormat="1" customHeight="1" ht="18.75">
      <c r="A178" s="991"/>
      <c r="B178" s="1370"/>
      <c r="C178" s="1646"/>
      <c r="D178" s="687" t="s">
        <v>104</v>
      </c>
      <c r="E178" s="550" t="str">
        <f>E112&amp;".65"</f>
        <v>7.65</v>
      </c>
      <c r="F178" s="544" t="s">
        <v>678</v>
      </c>
      <c r="G178" s="2370" t="s">
        <v>574</v>
      </c>
      <c r="H178" s="755"/>
      <c r="I178" s="755">
        <v>10.4</v>
      </c>
      <c r="J178" s="755"/>
      <c r="K178" s="755"/>
      <c r="L178" s="755"/>
      <c r="M178" s="755"/>
      <c r="N178" s="755"/>
      <c r="O178" s="755"/>
      <c r="P178" s="1529" t="s">
        <v>575</v>
      </c>
      <c r="Q178" s="738"/>
      <c r="R178" s="1646"/>
      <c r="S178" s="1646"/>
      <c r="T178" s="1370"/>
      <c r="U178" s="1370"/>
      <c r="V178" s="1370"/>
      <c r="W178" s="1370"/>
      <c r="X178" s="1646"/>
      <c r="Y178" s="1370"/>
      <c r="Z178" s="1370"/>
      <c r="AA178" s="740"/>
      <c r="AB178" s="1370"/>
      <c r="AC178" s="1370"/>
      <c r="AD178" s="1370"/>
      <c r="AE178" s="1370"/>
      <c r="AF178" s="1370"/>
      <c r="AG178" s="1636"/>
      <c r="AH178" s="1636"/>
      <c r="AI178" s="1636"/>
      <c r="AJ178" s="1636"/>
      <c r="AK178" s="1636"/>
      <c r="AL178" s="1639">
        <v>0</v>
      </c>
    </row>
    <row s="1854" customFormat="1" customHeight="1" ht="18.75">
      <c r="A179" s="991"/>
      <c r="B179" s="1370"/>
      <c r="C179" s="1646"/>
      <c r="D179" s="687" t="s">
        <v>104</v>
      </c>
      <c r="E179" s="550" t="str">
        <f>E112&amp;".66"</f>
        <v>7.66</v>
      </c>
      <c r="F179" s="544" t="s">
        <v>679</v>
      </c>
      <c r="G179" s="2370" t="s">
        <v>574</v>
      </c>
      <c r="H179" s="755"/>
      <c r="I179" s="755">
        <v>32.5</v>
      </c>
      <c r="J179" s="755"/>
      <c r="K179" s="755"/>
      <c r="L179" s="755"/>
      <c r="M179" s="755"/>
      <c r="N179" s="755"/>
      <c r="O179" s="755"/>
      <c r="P179" s="1529" t="s">
        <v>575</v>
      </c>
      <c r="Q179" s="738"/>
      <c r="R179" s="1646"/>
      <c r="S179" s="1646"/>
      <c r="T179" s="1370"/>
      <c r="U179" s="1370"/>
      <c r="V179" s="1370"/>
      <c r="W179" s="1370"/>
      <c r="X179" s="1646"/>
      <c r="Y179" s="1370"/>
      <c r="Z179" s="1370"/>
      <c r="AA179" s="740"/>
      <c r="AB179" s="1370"/>
      <c r="AC179" s="1370"/>
      <c r="AD179" s="1370"/>
      <c r="AE179" s="1370"/>
      <c r="AF179" s="1370"/>
      <c r="AG179" s="1636"/>
      <c r="AH179" s="1636"/>
      <c r="AI179" s="1636"/>
      <c r="AJ179" s="1636"/>
      <c r="AK179" s="1636"/>
      <c r="AL179" s="1639">
        <v>0</v>
      </c>
    </row>
    <row s="1854" customFormat="1" customHeight="1" ht="18.75">
      <c r="A180" s="991"/>
      <c r="B180" s="1370"/>
      <c r="C180" s="1646"/>
      <c r="D180" s="687" t="s">
        <v>104</v>
      </c>
      <c r="E180" s="550" t="str">
        <f>E112&amp;".67"</f>
        <v>7.67</v>
      </c>
      <c r="F180" s="544" t="s">
        <v>680</v>
      </c>
      <c r="G180" s="2370" t="s">
        <v>574</v>
      </c>
      <c r="H180" s="755"/>
      <c r="I180" s="755">
        <v>35.51</v>
      </c>
      <c r="J180" s="755"/>
      <c r="K180" s="755"/>
      <c r="L180" s="755"/>
      <c r="M180" s="755"/>
      <c r="N180" s="755"/>
      <c r="O180" s="755"/>
      <c r="P180" s="1529" t="s">
        <v>575</v>
      </c>
      <c r="Q180" s="738"/>
      <c r="R180" s="1646"/>
      <c r="S180" s="1646"/>
      <c r="T180" s="1370"/>
      <c r="U180" s="1370"/>
      <c r="V180" s="1370"/>
      <c r="W180" s="1370"/>
      <c r="X180" s="1646"/>
      <c r="Y180" s="1370"/>
      <c r="Z180" s="1370"/>
      <c r="AA180" s="740"/>
      <c r="AB180" s="1370"/>
      <c r="AC180" s="1370"/>
      <c r="AD180" s="1370"/>
      <c r="AE180" s="1370"/>
      <c r="AF180" s="1370"/>
      <c r="AG180" s="1636"/>
      <c r="AH180" s="1636"/>
      <c r="AI180" s="1636"/>
      <c r="AJ180" s="1636"/>
      <c r="AK180" s="1636"/>
      <c r="AL180" s="1639">
        <v>0</v>
      </c>
    </row>
    <row s="1854" customFormat="1" customHeight="1" ht="18.75">
      <c r="A181" s="991"/>
      <c r="B181" s="1370"/>
      <c r="C181" s="1646"/>
      <c r="D181" s="687" t="s">
        <v>104</v>
      </c>
      <c r="E181" s="550" t="str">
        <f>E112&amp;".68"</f>
        <v>7.68</v>
      </c>
      <c r="F181" s="544" t="s">
        <v>681</v>
      </c>
      <c r="G181" s="2370" t="s">
        <v>574</v>
      </c>
      <c r="H181" s="755"/>
      <c r="I181" s="755">
        <v>8.42</v>
      </c>
      <c r="J181" s="755"/>
      <c r="K181" s="755"/>
      <c r="L181" s="755"/>
      <c r="M181" s="755"/>
      <c r="N181" s="755"/>
      <c r="O181" s="755"/>
      <c r="P181" s="1529" t="s">
        <v>575</v>
      </c>
      <c r="Q181" s="738"/>
      <c r="R181" s="1646"/>
      <c r="S181" s="1646"/>
      <c r="T181" s="1370"/>
      <c r="U181" s="1370"/>
      <c r="V181" s="1370"/>
      <c r="W181" s="1370"/>
      <c r="X181" s="1646"/>
      <c r="Y181" s="1370"/>
      <c r="Z181" s="1370"/>
      <c r="AA181" s="740"/>
      <c r="AB181" s="1370"/>
      <c r="AC181" s="1370"/>
      <c r="AD181" s="1370"/>
      <c r="AE181" s="1370"/>
      <c r="AF181" s="1370"/>
      <c r="AG181" s="1636"/>
      <c r="AH181" s="1636"/>
      <c r="AI181" s="1636"/>
      <c r="AJ181" s="1636"/>
      <c r="AK181" s="1636"/>
      <c r="AL181" s="1639">
        <v>0</v>
      </c>
    </row>
    <row s="1854" customFormat="1" customHeight="1" ht="18.75">
      <c r="A182" s="991"/>
      <c r="B182" s="1370"/>
      <c r="C182" s="1646"/>
      <c r="D182" s="687" t="s">
        <v>104</v>
      </c>
      <c r="E182" s="550" t="str">
        <f>E112&amp;".69"</f>
        <v>7.69</v>
      </c>
      <c r="F182" s="544" t="s">
        <v>682</v>
      </c>
      <c r="G182" s="2370" t="s">
        <v>574</v>
      </c>
      <c r="H182" s="755"/>
      <c r="I182" s="755">
        <v>7.22</v>
      </c>
      <c r="J182" s="755"/>
      <c r="K182" s="755"/>
      <c r="L182" s="755"/>
      <c r="M182" s="755"/>
      <c r="N182" s="755"/>
      <c r="O182" s="755"/>
      <c r="P182" s="1529" t="s">
        <v>575</v>
      </c>
      <c r="Q182" s="738"/>
      <c r="R182" s="1646"/>
      <c r="S182" s="1646"/>
      <c r="T182" s="1370"/>
      <c r="U182" s="1370"/>
      <c r="V182" s="1370"/>
      <c r="W182" s="1370"/>
      <c r="X182" s="1646"/>
      <c r="Y182" s="1370"/>
      <c r="Z182" s="1370"/>
      <c r="AA182" s="740"/>
      <c r="AB182" s="1370"/>
      <c r="AC182" s="1370"/>
      <c r="AD182" s="1370"/>
      <c r="AE182" s="1370"/>
      <c r="AF182" s="1370"/>
      <c r="AG182" s="1636"/>
      <c r="AH182" s="1636"/>
      <c r="AI182" s="1636"/>
      <c r="AJ182" s="1636"/>
      <c r="AK182" s="1636"/>
      <c r="AL182" s="1639">
        <v>0</v>
      </c>
    </row>
    <row s="1854" customFormat="1" customHeight="1" ht="18.75">
      <c r="A183" s="991"/>
      <c r="B183" s="1370"/>
      <c r="C183" s="1646"/>
      <c r="D183" s="687" t="s">
        <v>104</v>
      </c>
      <c r="E183" s="550" t="str">
        <f>E112&amp;".70"</f>
        <v>7.70</v>
      </c>
      <c r="F183" s="544" t="s">
        <v>683</v>
      </c>
      <c r="G183" s="2370" t="s">
        <v>574</v>
      </c>
      <c r="H183" s="755"/>
      <c r="I183" s="755">
        <v>2.71</v>
      </c>
      <c r="J183" s="755"/>
      <c r="K183" s="755"/>
      <c r="L183" s="755"/>
      <c r="M183" s="755"/>
      <c r="N183" s="755"/>
      <c r="O183" s="755"/>
      <c r="P183" s="1529" t="s">
        <v>575</v>
      </c>
      <c r="Q183" s="738"/>
      <c r="R183" s="1646"/>
      <c r="S183" s="1646"/>
      <c r="T183" s="1370"/>
      <c r="U183" s="1370"/>
      <c r="V183" s="1370"/>
      <c r="W183" s="1370"/>
      <c r="X183" s="1646"/>
      <c r="Y183" s="1370"/>
      <c r="Z183" s="1370"/>
      <c r="AA183" s="740"/>
      <c r="AB183" s="1370"/>
      <c r="AC183" s="1370"/>
      <c r="AD183" s="1370"/>
      <c r="AE183" s="1370"/>
      <c r="AF183" s="1370"/>
      <c r="AG183" s="1636"/>
      <c r="AH183" s="1636"/>
      <c r="AI183" s="1636"/>
      <c r="AJ183" s="1636"/>
      <c r="AK183" s="1636"/>
      <c r="AL183" s="1639">
        <v>0</v>
      </c>
    </row>
    <row s="1854" customFormat="1" customHeight="1" ht="18.75">
      <c r="A184" s="991"/>
      <c r="B184" s="1370"/>
      <c r="C184" s="1646"/>
      <c r="D184" s="687" t="s">
        <v>104</v>
      </c>
      <c r="E184" s="550" t="str">
        <f>E112&amp;".71"</f>
        <v>7.71</v>
      </c>
      <c r="F184" s="544" t="s">
        <v>684</v>
      </c>
      <c r="G184" s="2370" t="s">
        <v>574</v>
      </c>
      <c r="H184" s="755"/>
      <c r="I184" s="755">
        <v>6.45</v>
      </c>
      <c r="J184" s="755"/>
      <c r="K184" s="755"/>
      <c r="L184" s="755"/>
      <c r="M184" s="755"/>
      <c r="N184" s="755"/>
      <c r="O184" s="755"/>
      <c r="P184" s="1529" t="s">
        <v>575</v>
      </c>
      <c r="Q184" s="738"/>
      <c r="R184" s="1646"/>
      <c r="S184" s="1646"/>
      <c r="T184" s="1370"/>
      <c r="U184" s="1370"/>
      <c r="V184" s="1370"/>
      <c r="W184" s="1370"/>
      <c r="X184" s="1646"/>
      <c r="Y184" s="1370"/>
      <c r="Z184" s="1370"/>
      <c r="AA184" s="740"/>
      <c r="AB184" s="1370"/>
      <c r="AC184" s="1370"/>
      <c r="AD184" s="1370"/>
      <c r="AE184" s="1370"/>
      <c r="AF184" s="1370"/>
      <c r="AG184" s="1636"/>
      <c r="AH184" s="1636"/>
      <c r="AI184" s="1636"/>
      <c r="AJ184" s="1636"/>
      <c r="AK184" s="1636"/>
      <c r="AL184" s="1639">
        <v>0</v>
      </c>
    </row>
    <row s="1854" customFormat="1" customHeight="1" ht="18.75">
      <c r="A185" s="991"/>
      <c r="B185" s="1370"/>
      <c r="C185" s="1646"/>
      <c r="D185" s="687" t="s">
        <v>104</v>
      </c>
      <c r="E185" s="550" t="str">
        <f>E112&amp;".72"</f>
        <v>7.72</v>
      </c>
      <c r="F185" s="544" t="s">
        <v>685</v>
      </c>
      <c r="G185" s="2370" t="s">
        <v>574</v>
      </c>
      <c r="H185" s="755"/>
      <c r="I185" s="755">
        <v>2.05</v>
      </c>
      <c r="J185" s="755"/>
      <c r="K185" s="755"/>
      <c r="L185" s="755"/>
      <c r="M185" s="755"/>
      <c r="N185" s="755"/>
      <c r="O185" s="755"/>
      <c r="P185" s="1529" t="s">
        <v>575</v>
      </c>
      <c r="Q185" s="738"/>
      <c r="R185" s="1646"/>
      <c r="S185" s="1646"/>
      <c r="T185" s="1370"/>
      <c r="U185" s="1370"/>
      <c r="V185" s="1370"/>
      <c r="W185" s="1370"/>
      <c r="X185" s="1646"/>
      <c r="Y185" s="1370"/>
      <c r="Z185" s="1370"/>
      <c r="AA185" s="740"/>
      <c r="AB185" s="1370"/>
      <c r="AC185" s="1370"/>
      <c r="AD185" s="1370"/>
      <c r="AE185" s="1370"/>
      <c r="AF185" s="1370"/>
      <c r="AG185" s="1636"/>
      <c r="AH185" s="1636"/>
      <c r="AI185" s="1636"/>
      <c r="AJ185" s="1636"/>
      <c r="AK185" s="1636"/>
      <c r="AL185" s="1639">
        <v>0</v>
      </c>
    </row>
    <row s="1854" customFormat="1" customHeight="1" ht="18.75">
      <c r="A186" s="991"/>
      <c r="B186" s="1370"/>
      <c r="C186" s="1646"/>
      <c r="D186" s="687" t="s">
        <v>104</v>
      </c>
      <c r="E186" s="550" t="str">
        <f>E112&amp;".73"</f>
        <v>7.73</v>
      </c>
      <c r="F186" s="544" t="s">
        <v>686</v>
      </c>
      <c r="G186" s="2370" t="s">
        <v>574</v>
      </c>
      <c r="H186" s="755"/>
      <c r="I186" s="755">
        <v>1.18</v>
      </c>
      <c r="J186" s="755"/>
      <c r="K186" s="755"/>
      <c r="L186" s="755"/>
      <c r="M186" s="755"/>
      <c r="N186" s="755"/>
      <c r="O186" s="755"/>
      <c r="P186" s="1529" t="s">
        <v>575</v>
      </c>
      <c r="Q186" s="738"/>
      <c r="R186" s="1646"/>
      <c r="S186" s="1646"/>
      <c r="T186" s="1370"/>
      <c r="U186" s="1370"/>
      <c r="V186" s="1370"/>
      <c r="W186" s="1370"/>
      <c r="X186" s="1646"/>
      <c r="Y186" s="1370"/>
      <c r="Z186" s="1370"/>
      <c r="AA186" s="740"/>
      <c r="AB186" s="1370"/>
      <c r="AC186" s="1370"/>
      <c r="AD186" s="1370"/>
      <c r="AE186" s="1370"/>
      <c r="AF186" s="1370"/>
      <c r="AG186" s="1636"/>
      <c r="AH186" s="1636"/>
      <c r="AI186" s="1636"/>
      <c r="AJ186" s="1636"/>
      <c r="AK186" s="1636"/>
      <c r="AL186" s="1639">
        <v>0</v>
      </c>
    </row>
    <row s="1854" customFormat="1" customHeight="1" ht="18.75">
      <c r="A187" s="991"/>
      <c r="B187" s="1370"/>
      <c r="C187" s="1646"/>
      <c r="D187" s="687" t="s">
        <v>104</v>
      </c>
      <c r="E187" s="550" t="str">
        <f>E112&amp;".74"</f>
        <v>7.74</v>
      </c>
      <c r="F187" s="544" t="s">
        <v>687</v>
      </c>
      <c r="G187" s="2370" t="s">
        <v>574</v>
      </c>
      <c r="H187" s="755"/>
      <c r="I187" s="755">
        <v>0.9</v>
      </c>
      <c r="J187" s="755"/>
      <c r="K187" s="755"/>
      <c r="L187" s="755"/>
      <c r="M187" s="755"/>
      <c r="N187" s="755"/>
      <c r="O187" s="755"/>
      <c r="P187" s="1529" t="s">
        <v>575</v>
      </c>
      <c r="Q187" s="738"/>
      <c r="R187" s="1646"/>
      <c r="S187" s="1646"/>
      <c r="T187" s="1370"/>
      <c r="U187" s="1370"/>
      <c r="V187" s="1370"/>
      <c r="W187" s="1370"/>
      <c r="X187" s="1646"/>
      <c r="Y187" s="1370"/>
      <c r="Z187" s="1370"/>
      <c r="AA187" s="740"/>
      <c r="AB187" s="1370"/>
      <c r="AC187" s="1370"/>
      <c r="AD187" s="1370"/>
      <c r="AE187" s="1370"/>
      <c r="AF187" s="1370"/>
      <c r="AG187" s="1636"/>
      <c r="AH187" s="1636"/>
      <c r="AI187" s="1636"/>
      <c r="AJ187" s="1636"/>
      <c r="AK187" s="1636"/>
      <c r="AL187" s="1639">
        <v>0</v>
      </c>
    </row>
    <row s="1854" customFormat="1" customHeight="1" ht="18.75">
      <c r="A188" s="991"/>
      <c r="B188" s="1370"/>
      <c r="C188" s="1646"/>
      <c r="D188" s="687" t="s">
        <v>104</v>
      </c>
      <c r="E188" s="550" t="str">
        <f>E112&amp;".75"</f>
        <v>7.75</v>
      </c>
      <c r="F188" s="544" t="s">
        <v>688</v>
      </c>
      <c r="G188" s="2370" t="s">
        <v>574</v>
      </c>
      <c r="H188" s="755"/>
      <c r="I188" s="755">
        <v>14.44</v>
      </c>
      <c r="J188" s="755"/>
      <c r="K188" s="755"/>
      <c r="L188" s="755"/>
      <c r="M188" s="755"/>
      <c r="N188" s="755"/>
      <c r="O188" s="755"/>
      <c r="P188" s="1529" t="s">
        <v>575</v>
      </c>
      <c r="Q188" s="738"/>
      <c r="R188" s="1646"/>
      <c r="S188" s="1646"/>
      <c r="T188" s="1370"/>
      <c r="U188" s="1370"/>
      <c r="V188" s="1370"/>
      <c r="W188" s="1370"/>
      <c r="X188" s="1646"/>
      <c r="Y188" s="1370"/>
      <c r="Z188" s="1370"/>
      <c r="AA188" s="740"/>
      <c r="AB188" s="1370"/>
      <c r="AC188" s="1370"/>
      <c r="AD188" s="1370"/>
      <c r="AE188" s="1370"/>
      <c r="AF188" s="1370"/>
      <c r="AG188" s="1636"/>
      <c r="AH188" s="1636"/>
      <c r="AI188" s="1636"/>
      <c r="AJ188" s="1636"/>
      <c r="AK188" s="1636"/>
      <c r="AL188" s="1639">
        <v>0</v>
      </c>
    </row>
    <row s="1854" customFormat="1" customHeight="1" ht="18.75">
      <c r="A189" s="991"/>
      <c r="B189" s="1370"/>
      <c r="C189" s="1646"/>
      <c r="D189" s="687" t="s">
        <v>104</v>
      </c>
      <c r="E189" s="550" t="str">
        <f>E112&amp;".76"</f>
        <v>7.76</v>
      </c>
      <c r="F189" s="544" t="s">
        <v>689</v>
      </c>
      <c r="G189" s="2370" t="s">
        <v>574</v>
      </c>
      <c r="H189" s="755"/>
      <c r="I189" s="755">
        <v>38.78</v>
      </c>
      <c r="J189" s="755"/>
      <c r="K189" s="755"/>
      <c r="L189" s="755"/>
      <c r="M189" s="755"/>
      <c r="N189" s="755"/>
      <c r="O189" s="755"/>
      <c r="P189" s="1529" t="s">
        <v>575</v>
      </c>
      <c r="Q189" s="738"/>
      <c r="R189" s="1646"/>
      <c r="S189" s="1646"/>
      <c r="T189" s="1370"/>
      <c r="U189" s="1370"/>
      <c r="V189" s="1370"/>
      <c r="W189" s="1370"/>
      <c r="X189" s="1646"/>
      <c r="Y189" s="1370"/>
      <c r="Z189" s="1370"/>
      <c r="AA189" s="740"/>
      <c r="AB189" s="1370"/>
      <c r="AC189" s="1370"/>
      <c r="AD189" s="1370"/>
      <c r="AE189" s="1370"/>
      <c r="AF189" s="1370"/>
      <c r="AG189" s="1636"/>
      <c r="AH189" s="1636"/>
      <c r="AI189" s="1636"/>
      <c r="AJ189" s="1636"/>
      <c r="AK189" s="1636"/>
      <c r="AL189" s="1639">
        <v>0</v>
      </c>
    </row>
    <row s="1854" customFormat="1" customHeight="1" ht="18.75">
      <c r="A190" s="991"/>
      <c r="B190" s="1370"/>
      <c r="C190" s="1646"/>
      <c r="D190" s="687" t="s">
        <v>104</v>
      </c>
      <c r="E190" s="550" t="str">
        <f>E112&amp;".77"</f>
        <v>7.77</v>
      </c>
      <c r="F190" s="544" t="s">
        <v>690</v>
      </c>
      <c r="G190" s="2370" t="s">
        <v>574</v>
      </c>
      <c r="H190" s="755"/>
      <c r="I190" s="755">
        <v>8.81</v>
      </c>
      <c r="J190" s="755"/>
      <c r="K190" s="755"/>
      <c r="L190" s="755"/>
      <c r="M190" s="755"/>
      <c r="N190" s="755"/>
      <c r="O190" s="755"/>
      <c r="P190" s="1529" t="s">
        <v>575</v>
      </c>
      <c r="Q190" s="738"/>
      <c r="R190" s="1646"/>
      <c r="S190" s="1646"/>
      <c r="T190" s="1370"/>
      <c r="U190" s="1370"/>
      <c r="V190" s="1370"/>
      <c r="W190" s="1370"/>
      <c r="X190" s="1646"/>
      <c r="Y190" s="1370"/>
      <c r="Z190" s="1370"/>
      <c r="AA190" s="740"/>
      <c r="AB190" s="1370"/>
      <c r="AC190" s="1370"/>
      <c r="AD190" s="1370"/>
      <c r="AE190" s="1370"/>
      <c r="AF190" s="1370"/>
      <c r="AG190" s="1636"/>
      <c r="AH190" s="1636"/>
      <c r="AI190" s="1636"/>
      <c r="AJ190" s="1636"/>
      <c r="AK190" s="1636"/>
      <c r="AL190" s="1639">
        <v>0</v>
      </c>
    </row>
    <row s="1854" customFormat="1" customHeight="1" ht="18.75">
      <c r="A191" s="991"/>
      <c r="B191" s="1370"/>
      <c r="C191" s="1646"/>
      <c r="D191" s="687" t="s">
        <v>104</v>
      </c>
      <c r="E191" s="550" t="str">
        <f>E112&amp;".78"</f>
        <v>7.78</v>
      </c>
      <c r="F191" s="544" t="s">
        <v>691</v>
      </c>
      <c r="G191" s="2370" t="s">
        <v>574</v>
      </c>
      <c r="H191" s="755"/>
      <c r="I191" s="755">
        <v>14.87</v>
      </c>
      <c r="J191" s="755"/>
      <c r="K191" s="755"/>
      <c r="L191" s="755"/>
      <c r="M191" s="755"/>
      <c r="N191" s="755"/>
      <c r="O191" s="755"/>
      <c r="P191" s="1529" t="s">
        <v>575</v>
      </c>
      <c r="Q191" s="738"/>
      <c r="R191" s="1646"/>
      <c r="S191" s="1646"/>
      <c r="T191" s="1370"/>
      <c r="U191" s="1370"/>
      <c r="V191" s="1370"/>
      <c r="W191" s="1370"/>
      <c r="X191" s="1646"/>
      <c r="Y191" s="1370"/>
      <c r="Z191" s="1370"/>
      <c r="AA191" s="740"/>
      <c r="AB191" s="1370"/>
      <c r="AC191" s="1370"/>
      <c r="AD191" s="1370"/>
      <c r="AE191" s="1370"/>
      <c r="AF191" s="1370"/>
      <c r="AG191" s="1636"/>
      <c r="AH191" s="1636"/>
      <c r="AI191" s="1636"/>
      <c r="AJ191" s="1636"/>
      <c r="AK191" s="1636"/>
      <c r="AL191" s="1639">
        <v>0</v>
      </c>
    </row>
    <row s="1854" customFormat="1" customHeight="1" ht="18.75">
      <c r="A192" s="991"/>
      <c r="B192" s="1370"/>
      <c r="C192" s="1646"/>
      <c r="D192" s="687" t="s">
        <v>104</v>
      </c>
      <c r="E192" s="550" t="str">
        <f>E112&amp;".79"</f>
        <v>7.79</v>
      </c>
      <c r="F192" s="544" t="s">
        <v>692</v>
      </c>
      <c r="G192" s="2370" t="s">
        <v>574</v>
      </c>
      <c r="H192" s="755"/>
      <c r="I192" s="755">
        <v>14.5</v>
      </c>
      <c r="J192" s="755"/>
      <c r="K192" s="755"/>
      <c r="L192" s="755"/>
      <c r="M192" s="755"/>
      <c r="N192" s="755"/>
      <c r="O192" s="755"/>
      <c r="P192" s="1529" t="s">
        <v>575</v>
      </c>
      <c r="Q192" s="738"/>
      <c r="R192" s="1646"/>
      <c r="S192" s="1646"/>
      <c r="T192" s="1370"/>
      <c r="U192" s="1370"/>
      <c r="V192" s="1370"/>
      <c r="W192" s="1370"/>
      <c r="X192" s="1646"/>
      <c r="Y192" s="1370"/>
      <c r="Z192" s="1370"/>
      <c r="AA192" s="740"/>
      <c r="AB192" s="1370"/>
      <c r="AC192" s="1370"/>
      <c r="AD192" s="1370"/>
      <c r="AE192" s="1370"/>
      <c r="AF192" s="1370"/>
      <c r="AG192" s="1636"/>
      <c r="AH192" s="1636"/>
      <c r="AI192" s="1636"/>
      <c r="AJ192" s="1636"/>
      <c r="AK192" s="1636"/>
      <c r="AL192" s="1639">
        <v>0</v>
      </c>
    </row>
    <row s="1854" customFormat="1" customHeight="1" ht="18.75">
      <c r="A193" s="991"/>
      <c r="B193" s="1370"/>
      <c r="C193" s="1646"/>
      <c r="D193" s="687" t="s">
        <v>104</v>
      </c>
      <c r="E193" s="550" t="str">
        <f>E112&amp;".80"</f>
        <v>7.80</v>
      </c>
      <c r="F193" s="544" t="s">
        <v>693</v>
      </c>
      <c r="G193" s="2370" t="s">
        <v>574</v>
      </c>
      <c r="H193" s="755"/>
      <c r="I193" s="755">
        <v>1.98</v>
      </c>
      <c r="J193" s="755"/>
      <c r="K193" s="755"/>
      <c r="L193" s="755"/>
      <c r="M193" s="755"/>
      <c r="N193" s="755"/>
      <c r="O193" s="755"/>
      <c r="P193" s="1529" t="s">
        <v>575</v>
      </c>
      <c r="Q193" s="738"/>
      <c r="R193" s="1646"/>
      <c r="S193" s="1646"/>
      <c r="T193" s="1370"/>
      <c r="U193" s="1370"/>
      <c r="V193" s="1370"/>
      <c r="W193" s="1370"/>
      <c r="X193" s="1646"/>
      <c r="Y193" s="1370"/>
      <c r="Z193" s="1370"/>
      <c r="AA193" s="740"/>
      <c r="AB193" s="1370"/>
      <c r="AC193" s="1370"/>
      <c r="AD193" s="1370"/>
      <c r="AE193" s="1370"/>
      <c r="AF193" s="1370"/>
      <c r="AG193" s="1636"/>
      <c r="AH193" s="1636"/>
      <c r="AI193" s="1636"/>
      <c r="AJ193" s="1636"/>
      <c r="AK193" s="1636"/>
      <c r="AL193" s="1639">
        <v>0</v>
      </c>
    </row>
    <row s="1854" customFormat="1" customHeight="1" ht="18.75">
      <c r="A194" s="991"/>
      <c r="B194" s="1370"/>
      <c r="C194" s="1646"/>
      <c r="D194" s="687" t="s">
        <v>104</v>
      </c>
      <c r="E194" s="550" t="str">
        <f>E112&amp;".81"</f>
        <v>7.81</v>
      </c>
      <c r="F194" s="544" t="s">
        <v>694</v>
      </c>
      <c r="G194" s="2370" t="s">
        <v>574</v>
      </c>
      <c r="H194" s="755"/>
      <c r="I194" s="755">
        <v>13.6</v>
      </c>
      <c r="J194" s="755"/>
      <c r="K194" s="755"/>
      <c r="L194" s="755"/>
      <c r="M194" s="755"/>
      <c r="N194" s="755"/>
      <c r="O194" s="755"/>
      <c r="P194" s="1529" t="s">
        <v>575</v>
      </c>
      <c r="Q194" s="738"/>
      <c r="R194" s="1646"/>
      <c r="S194" s="1646"/>
      <c r="T194" s="1370"/>
      <c r="U194" s="1370"/>
      <c r="V194" s="1370"/>
      <c r="W194" s="1370"/>
      <c r="X194" s="1646"/>
      <c r="Y194" s="1370"/>
      <c r="Z194" s="1370"/>
      <c r="AA194" s="740"/>
      <c r="AB194" s="1370"/>
      <c r="AC194" s="1370"/>
      <c r="AD194" s="1370"/>
      <c r="AE194" s="1370"/>
      <c r="AF194" s="1370"/>
      <c r="AG194" s="1636"/>
      <c r="AH194" s="1636"/>
      <c r="AI194" s="1636"/>
      <c r="AJ194" s="1636"/>
      <c r="AK194" s="1636"/>
      <c r="AL194" s="1639">
        <v>0</v>
      </c>
    </row>
    <row s="1854" customFormat="1" customHeight="1" ht="18.75">
      <c r="A195" s="991"/>
      <c r="B195" s="1370"/>
      <c r="C195" s="1646"/>
      <c r="D195" s="687" t="s">
        <v>104</v>
      </c>
      <c r="E195" s="550" t="str">
        <f>E112&amp;".82"</f>
        <v>7.82</v>
      </c>
      <c r="F195" s="544" t="s">
        <v>695</v>
      </c>
      <c r="G195" s="2370" t="s">
        <v>574</v>
      </c>
      <c r="H195" s="755"/>
      <c r="I195" s="755">
        <v>0.54</v>
      </c>
      <c r="J195" s="755"/>
      <c r="K195" s="755"/>
      <c r="L195" s="755"/>
      <c r="M195" s="755"/>
      <c r="N195" s="755"/>
      <c r="O195" s="755"/>
      <c r="P195" s="1529" t="s">
        <v>575</v>
      </c>
      <c r="Q195" s="738"/>
      <c r="R195" s="1646"/>
      <c r="S195" s="1646"/>
      <c r="T195" s="1370"/>
      <c r="U195" s="1370"/>
      <c r="V195" s="1370"/>
      <c r="W195" s="1370"/>
      <c r="X195" s="1646"/>
      <c r="Y195" s="1370"/>
      <c r="Z195" s="1370"/>
      <c r="AA195" s="740"/>
      <c r="AB195" s="1370"/>
      <c r="AC195" s="1370"/>
      <c r="AD195" s="1370"/>
      <c r="AE195" s="1370"/>
      <c r="AF195" s="1370"/>
      <c r="AG195" s="1636"/>
      <c r="AH195" s="1636"/>
      <c r="AI195" s="1636"/>
      <c r="AJ195" s="1636"/>
      <c r="AK195" s="1636"/>
      <c r="AL195" s="1639">
        <v>0</v>
      </c>
    </row>
    <row s="1854" customFormat="1" customHeight="1" ht="18.75">
      <c r="A196" s="991"/>
      <c r="B196" s="1370"/>
      <c r="C196" s="1646"/>
      <c r="D196" s="687" t="s">
        <v>104</v>
      </c>
      <c r="E196" s="550" t="str">
        <f>E112&amp;".83"</f>
        <v>7.83</v>
      </c>
      <c r="F196" s="544" t="s">
        <v>696</v>
      </c>
      <c r="G196" s="2370" t="s">
        <v>574</v>
      </c>
      <c r="H196" s="755"/>
      <c r="I196" s="755">
        <v>5.92</v>
      </c>
      <c r="J196" s="755"/>
      <c r="K196" s="755"/>
      <c r="L196" s="755"/>
      <c r="M196" s="755"/>
      <c r="N196" s="755"/>
      <c r="O196" s="755"/>
      <c r="P196" s="1529" t="s">
        <v>575</v>
      </c>
      <c r="Q196" s="738"/>
      <c r="R196" s="1646"/>
      <c r="S196" s="1646"/>
      <c r="T196" s="1370"/>
      <c r="U196" s="1370"/>
      <c r="V196" s="1370"/>
      <c r="W196" s="1370"/>
      <c r="X196" s="1646"/>
      <c r="Y196" s="1370"/>
      <c r="Z196" s="1370"/>
      <c r="AA196" s="740"/>
      <c r="AB196" s="1370"/>
      <c r="AC196" s="1370"/>
      <c r="AD196" s="1370"/>
      <c r="AE196" s="1370"/>
      <c r="AF196" s="1370"/>
      <c r="AG196" s="1636"/>
      <c r="AH196" s="1636"/>
      <c r="AI196" s="1636"/>
      <c r="AJ196" s="1636"/>
      <c r="AK196" s="1636"/>
      <c r="AL196" s="1639">
        <v>0</v>
      </c>
    </row>
    <row s="1854" customFormat="1" customHeight="1" ht="18.75">
      <c r="A197" s="991"/>
      <c r="B197" s="1370"/>
      <c r="C197" s="1646"/>
      <c r="D197" s="687" t="s">
        <v>104</v>
      </c>
      <c r="E197" s="550" t="str">
        <f>E112&amp;".84"</f>
        <v>7.84</v>
      </c>
      <c r="F197" s="544" t="s">
        <v>697</v>
      </c>
      <c r="G197" s="2370" t="s">
        <v>574</v>
      </c>
      <c r="H197" s="755"/>
      <c r="I197" s="755">
        <v>3.6</v>
      </c>
      <c r="J197" s="755"/>
      <c r="K197" s="755"/>
      <c r="L197" s="755"/>
      <c r="M197" s="755"/>
      <c r="N197" s="755"/>
      <c r="O197" s="755"/>
      <c r="P197" s="1529" t="s">
        <v>575</v>
      </c>
      <c r="Q197" s="738"/>
      <c r="R197" s="1646"/>
      <c r="S197" s="1646"/>
      <c r="T197" s="1370"/>
      <c r="U197" s="1370"/>
      <c r="V197" s="1370"/>
      <c r="W197" s="1370"/>
      <c r="X197" s="1646"/>
      <c r="Y197" s="1370"/>
      <c r="Z197" s="1370"/>
      <c r="AA197" s="740"/>
      <c r="AB197" s="1370"/>
      <c r="AC197" s="1370"/>
      <c r="AD197" s="1370"/>
      <c r="AE197" s="1370"/>
      <c r="AF197" s="1370"/>
      <c r="AG197" s="1636"/>
      <c r="AH197" s="1636"/>
      <c r="AI197" s="1636"/>
      <c r="AJ197" s="1636"/>
      <c r="AK197" s="1636"/>
      <c r="AL197" s="1639">
        <v>0</v>
      </c>
    </row>
    <row s="1854" customFormat="1" customHeight="1" ht="18.75">
      <c r="A198" s="991"/>
      <c r="B198" s="1370"/>
      <c r="C198" s="1646"/>
      <c r="D198" s="687" t="s">
        <v>104</v>
      </c>
      <c r="E198" s="550" t="str">
        <f>E112&amp;".85"</f>
        <v>7.85</v>
      </c>
      <c r="F198" s="544" t="s">
        <v>698</v>
      </c>
      <c r="G198" s="2370" t="s">
        <v>574</v>
      </c>
      <c r="H198" s="755"/>
      <c r="I198" s="755">
        <v>19.5</v>
      </c>
      <c r="J198" s="755"/>
      <c r="K198" s="755"/>
      <c r="L198" s="755"/>
      <c r="M198" s="755"/>
      <c r="N198" s="755"/>
      <c r="O198" s="755"/>
      <c r="P198" s="1529" t="s">
        <v>575</v>
      </c>
      <c r="Q198" s="738"/>
      <c r="R198" s="1646"/>
      <c r="S198" s="1646"/>
      <c r="T198" s="1370"/>
      <c r="U198" s="1370"/>
      <c r="V198" s="1370"/>
      <c r="W198" s="1370"/>
      <c r="X198" s="1646"/>
      <c r="Y198" s="1370"/>
      <c r="Z198" s="1370"/>
      <c r="AA198" s="740"/>
      <c r="AB198" s="1370"/>
      <c r="AC198" s="1370"/>
      <c r="AD198" s="1370"/>
      <c r="AE198" s="1370"/>
      <c r="AF198" s="1370"/>
      <c r="AG198" s="1636"/>
      <c r="AH198" s="1636"/>
      <c r="AI198" s="1636"/>
      <c r="AJ198" s="1636"/>
      <c r="AK198" s="1636"/>
      <c r="AL198" s="1639">
        <v>0</v>
      </c>
    </row>
    <row s="1854" customFormat="1" customHeight="1" ht="18.75">
      <c r="A199" s="991"/>
      <c r="B199" s="1370"/>
      <c r="C199" s="1646"/>
      <c r="D199" s="687" t="s">
        <v>104</v>
      </c>
      <c r="E199" s="550" t="str">
        <f>E112&amp;".86"</f>
        <v>7.86</v>
      </c>
      <c r="F199" s="544" t="s">
        <v>699</v>
      </c>
      <c r="G199" s="2370" t="s">
        <v>574</v>
      </c>
      <c r="H199" s="755"/>
      <c r="I199" s="755">
        <v>31.04</v>
      </c>
      <c r="J199" s="755"/>
      <c r="K199" s="755"/>
      <c r="L199" s="755"/>
      <c r="M199" s="755"/>
      <c r="N199" s="755"/>
      <c r="O199" s="755"/>
      <c r="P199" s="1529" t="s">
        <v>575</v>
      </c>
      <c r="Q199" s="738"/>
      <c r="R199" s="1646"/>
      <c r="S199" s="1646"/>
      <c r="T199" s="1370"/>
      <c r="U199" s="1370"/>
      <c r="V199" s="1370"/>
      <c r="W199" s="1370"/>
      <c r="X199" s="1646"/>
      <c r="Y199" s="1370"/>
      <c r="Z199" s="1370"/>
      <c r="AA199" s="740"/>
      <c r="AB199" s="1370"/>
      <c r="AC199" s="1370"/>
      <c r="AD199" s="1370"/>
      <c r="AE199" s="1370"/>
      <c r="AF199" s="1370"/>
      <c r="AG199" s="1636"/>
      <c r="AH199" s="1636"/>
      <c r="AI199" s="1636"/>
      <c r="AJ199" s="1636"/>
      <c r="AK199" s="1636"/>
      <c r="AL199" s="1639">
        <v>0</v>
      </c>
    </row>
    <row s="1854" customFormat="1" customHeight="1" ht="18.75">
      <c r="A200" s="991"/>
      <c r="B200" s="1370"/>
      <c r="C200" s="1646"/>
      <c r="D200" s="687" t="s">
        <v>104</v>
      </c>
      <c r="E200" s="550" t="str">
        <f>E112&amp;".87"</f>
        <v>7.87</v>
      </c>
      <c r="F200" s="544" t="s">
        <v>700</v>
      </c>
      <c r="G200" s="2370" t="s">
        <v>574</v>
      </c>
      <c r="H200" s="755"/>
      <c r="I200" s="755">
        <v>0.28</v>
      </c>
      <c r="J200" s="755"/>
      <c r="K200" s="755"/>
      <c r="L200" s="755"/>
      <c r="M200" s="755"/>
      <c r="N200" s="755"/>
      <c r="O200" s="755"/>
      <c r="P200" s="1529" t="s">
        <v>575</v>
      </c>
      <c r="Q200" s="738"/>
      <c r="R200" s="1646"/>
      <c r="S200" s="1646"/>
      <c r="T200" s="1370"/>
      <c r="U200" s="1370"/>
      <c r="V200" s="1370"/>
      <c r="W200" s="1370"/>
      <c r="X200" s="1646"/>
      <c r="Y200" s="1370"/>
      <c r="Z200" s="1370"/>
      <c r="AA200" s="740"/>
      <c r="AB200" s="1370"/>
      <c r="AC200" s="1370"/>
      <c r="AD200" s="1370"/>
      <c r="AE200" s="1370"/>
      <c r="AF200" s="1370"/>
      <c r="AG200" s="1636"/>
      <c r="AH200" s="1636"/>
      <c r="AI200" s="1636"/>
      <c r="AJ200" s="1636"/>
      <c r="AK200" s="1636"/>
      <c r="AL200" s="1639">
        <v>0</v>
      </c>
    </row>
    <row s="1854" customFormat="1" customHeight="1" ht="18.75">
      <c r="A201" s="991"/>
      <c r="B201" s="1370"/>
      <c r="C201" s="1646"/>
      <c r="D201" s="687" t="s">
        <v>104</v>
      </c>
      <c r="E201" s="550" t="str">
        <f>E112&amp;".88"</f>
        <v>7.88</v>
      </c>
      <c r="F201" s="544" t="s">
        <v>701</v>
      </c>
      <c r="G201" s="2370" t="s">
        <v>574</v>
      </c>
      <c r="H201" s="755"/>
      <c r="I201" s="755">
        <v>1.17</v>
      </c>
      <c r="J201" s="755"/>
      <c r="K201" s="755"/>
      <c r="L201" s="755"/>
      <c r="M201" s="755"/>
      <c r="N201" s="755"/>
      <c r="O201" s="755"/>
      <c r="P201" s="1529" t="s">
        <v>575</v>
      </c>
      <c r="Q201" s="738"/>
      <c r="R201" s="1646"/>
      <c r="S201" s="1646"/>
      <c r="T201" s="1370"/>
      <c r="U201" s="1370"/>
      <c r="V201" s="1370"/>
      <c r="W201" s="1370"/>
      <c r="X201" s="1646"/>
      <c r="Y201" s="1370"/>
      <c r="Z201" s="1370"/>
      <c r="AA201" s="740"/>
      <c r="AB201" s="1370"/>
      <c r="AC201" s="1370"/>
      <c r="AD201" s="1370"/>
      <c r="AE201" s="1370"/>
      <c r="AF201" s="1370"/>
      <c r="AG201" s="1636"/>
      <c r="AH201" s="1636"/>
      <c r="AI201" s="1636"/>
      <c r="AJ201" s="1636"/>
      <c r="AK201" s="1636"/>
      <c r="AL201" s="1639">
        <v>0</v>
      </c>
    </row>
    <row s="1854" customFormat="1" customHeight="1" ht="18.75">
      <c r="A202" s="991"/>
      <c r="B202" s="1370"/>
      <c r="C202" s="1646"/>
      <c r="D202" s="687" t="s">
        <v>104</v>
      </c>
      <c r="E202" s="550" t="str">
        <f>E112&amp;".89"</f>
        <v>7.89</v>
      </c>
      <c r="F202" s="544" t="s">
        <v>702</v>
      </c>
      <c r="G202" s="2370" t="s">
        <v>574</v>
      </c>
      <c r="H202" s="755"/>
      <c r="I202" s="755">
        <v>33.19</v>
      </c>
      <c r="J202" s="755"/>
      <c r="K202" s="755"/>
      <c r="L202" s="755"/>
      <c r="M202" s="755"/>
      <c r="N202" s="755"/>
      <c r="O202" s="755"/>
      <c r="P202" s="1529" t="s">
        <v>575</v>
      </c>
      <c r="Q202" s="738"/>
      <c r="R202" s="1646"/>
      <c r="S202" s="1646"/>
      <c r="T202" s="1370"/>
      <c r="U202" s="1370"/>
      <c r="V202" s="1370"/>
      <c r="W202" s="1370"/>
      <c r="X202" s="1646"/>
      <c r="Y202" s="1370"/>
      <c r="Z202" s="1370"/>
      <c r="AA202" s="740"/>
      <c r="AB202" s="1370"/>
      <c r="AC202" s="1370"/>
      <c r="AD202" s="1370"/>
      <c r="AE202" s="1370"/>
      <c r="AF202" s="1370"/>
      <c r="AG202" s="1636"/>
      <c r="AH202" s="1636"/>
      <c r="AI202" s="1636"/>
      <c r="AJ202" s="1636"/>
      <c r="AK202" s="1636"/>
      <c r="AL202" s="1639">
        <v>0</v>
      </c>
    </row>
    <row s="1854" customFormat="1" customHeight="1" ht="18.75">
      <c r="A203" s="991"/>
      <c r="B203" s="1370"/>
      <c r="C203" s="1646"/>
      <c r="D203" s="687" t="s">
        <v>104</v>
      </c>
      <c r="E203" s="550" t="str">
        <f>E112&amp;".90"</f>
        <v>7.90</v>
      </c>
      <c r="F203" s="544" t="s">
        <v>703</v>
      </c>
      <c r="G203" s="2370" t="s">
        <v>574</v>
      </c>
      <c r="H203" s="755"/>
      <c r="I203" s="755">
        <v>4.24</v>
      </c>
      <c r="J203" s="755"/>
      <c r="K203" s="755"/>
      <c r="L203" s="755"/>
      <c r="M203" s="755"/>
      <c r="N203" s="755"/>
      <c r="O203" s="755"/>
      <c r="P203" s="1529" t="s">
        <v>575</v>
      </c>
      <c r="Q203" s="738"/>
      <c r="R203" s="1646"/>
      <c r="S203" s="1646"/>
      <c r="T203" s="1370"/>
      <c r="U203" s="1370"/>
      <c r="V203" s="1370"/>
      <c r="W203" s="1370"/>
      <c r="X203" s="1646"/>
      <c r="Y203" s="1370"/>
      <c r="Z203" s="1370"/>
      <c r="AA203" s="740"/>
      <c r="AB203" s="1370"/>
      <c r="AC203" s="1370"/>
      <c r="AD203" s="1370"/>
      <c r="AE203" s="1370"/>
      <c r="AF203" s="1370"/>
      <c r="AG203" s="1636"/>
      <c r="AH203" s="1636"/>
      <c r="AI203" s="1636"/>
      <c r="AJ203" s="1636"/>
      <c r="AK203" s="1636"/>
      <c r="AL203" s="1639">
        <v>0</v>
      </c>
    </row>
    <row s="1854" customFormat="1" customHeight="1" ht="18.75">
      <c r="A204" s="991"/>
      <c r="B204" s="1370"/>
      <c r="C204" s="1646"/>
      <c r="D204" s="687" t="s">
        <v>104</v>
      </c>
      <c r="E204" s="550" t="str">
        <f>E112&amp;".91"</f>
        <v>7.91</v>
      </c>
      <c r="F204" s="544" t="s">
        <v>704</v>
      </c>
      <c r="G204" s="2370" t="s">
        <v>574</v>
      </c>
      <c r="H204" s="755"/>
      <c r="I204" s="755">
        <v>1.17</v>
      </c>
      <c r="J204" s="755"/>
      <c r="K204" s="755"/>
      <c r="L204" s="755"/>
      <c r="M204" s="755"/>
      <c r="N204" s="755"/>
      <c r="O204" s="755"/>
      <c r="P204" s="1529" t="s">
        <v>575</v>
      </c>
      <c r="Q204" s="738"/>
      <c r="R204" s="1646"/>
      <c r="S204" s="1646"/>
      <c r="T204" s="1370"/>
      <c r="U204" s="1370"/>
      <c r="V204" s="1370"/>
      <c r="W204" s="1370"/>
      <c r="X204" s="1646"/>
      <c r="Y204" s="1370"/>
      <c r="Z204" s="1370"/>
      <c r="AA204" s="740"/>
      <c r="AB204" s="1370"/>
      <c r="AC204" s="1370"/>
      <c r="AD204" s="1370"/>
      <c r="AE204" s="1370"/>
      <c r="AF204" s="1370"/>
      <c r="AG204" s="1636"/>
      <c r="AH204" s="1636"/>
      <c r="AI204" s="1636"/>
      <c r="AJ204" s="1636"/>
      <c r="AK204" s="1636"/>
      <c r="AL204" s="1639">
        <v>0</v>
      </c>
    </row>
    <row s="1854" customFormat="1" customHeight="1" ht="18.75">
      <c r="A205" s="991"/>
      <c r="B205" s="1370"/>
      <c r="C205" s="1646"/>
      <c r="D205" s="687" t="s">
        <v>104</v>
      </c>
      <c r="E205" s="550" t="str">
        <f>E112&amp;".92"</f>
        <v>7.92</v>
      </c>
      <c r="F205" s="544" t="s">
        <v>705</v>
      </c>
      <c r="G205" s="2370" t="s">
        <v>574</v>
      </c>
      <c r="H205" s="755"/>
      <c r="I205" s="755">
        <v>0.32</v>
      </c>
      <c r="J205" s="755"/>
      <c r="K205" s="755"/>
      <c r="L205" s="755"/>
      <c r="M205" s="755"/>
      <c r="N205" s="755"/>
      <c r="O205" s="755"/>
      <c r="P205" s="1529" t="s">
        <v>575</v>
      </c>
      <c r="Q205" s="738"/>
      <c r="R205" s="1646"/>
      <c r="S205" s="1646"/>
      <c r="T205" s="1370"/>
      <c r="U205" s="1370"/>
      <c r="V205" s="1370"/>
      <c r="W205" s="1370"/>
      <c r="X205" s="1646"/>
      <c r="Y205" s="1370"/>
      <c r="Z205" s="1370"/>
      <c r="AA205" s="740"/>
      <c r="AB205" s="1370"/>
      <c r="AC205" s="1370"/>
      <c r="AD205" s="1370"/>
      <c r="AE205" s="1370"/>
      <c r="AF205" s="1370"/>
      <c r="AG205" s="1636"/>
      <c r="AH205" s="1636"/>
      <c r="AI205" s="1636"/>
      <c r="AJ205" s="1636"/>
      <c r="AK205" s="1636"/>
      <c r="AL205" s="1639">
        <v>0</v>
      </c>
    </row>
    <row s="1854" customFormat="1" customHeight="1" ht="18.75">
      <c r="A206" s="991"/>
      <c r="B206" s="1370"/>
      <c r="C206" s="1646"/>
      <c r="D206" s="687" t="s">
        <v>104</v>
      </c>
      <c r="E206" s="550" t="str">
        <f>E112&amp;".93"</f>
        <v>7.93</v>
      </c>
      <c r="F206" s="544" t="s">
        <v>706</v>
      </c>
      <c r="G206" s="2370" t="s">
        <v>574</v>
      </c>
      <c r="H206" s="755"/>
      <c r="I206" s="755">
        <v>4.78</v>
      </c>
      <c r="J206" s="755"/>
      <c r="K206" s="755"/>
      <c r="L206" s="755"/>
      <c r="M206" s="755"/>
      <c r="N206" s="755"/>
      <c r="O206" s="755"/>
      <c r="P206" s="1529" t="s">
        <v>575</v>
      </c>
      <c r="Q206" s="738"/>
      <c r="R206" s="1646"/>
      <c r="S206" s="1646"/>
      <c r="T206" s="1370"/>
      <c r="U206" s="1370"/>
      <c r="V206" s="1370"/>
      <c r="W206" s="1370"/>
      <c r="X206" s="1646"/>
      <c r="Y206" s="1370"/>
      <c r="Z206" s="1370"/>
      <c r="AA206" s="740"/>
      <c r="AB206" s="1370"/>
      <c r="AC206" s="1370"/>
      <c r="AD206" s="1370"/>
      <c r="AE206" s="1370"/>
      <c r="AF206" s="1370"/>
      <c r="AG206" s="1636"/>
      <c r="AH206" s="1636"/>
      <c r="AI206" s="1636"/>
      <c r="AJ206" s="1636"/>
      <c r="AK206" s="1636"/>
      <c r="AL206" s="1639">
        <v>0</v>
      </c>
    </row>
    <row s="1854" customFormat="1" customHeight="1" ht="18.75">
      <c r="A207" s="991"/>
      <c r="B207" s="1370"/>
      <c r="C207" s="1646"/>
      <c r="D207" s="687" t="s">
        <v>104</v>
      </c>
      <c r="E207" s="550" t="str">
        <f>E112&amp;".94"</f>
        <v>7.94</v>
      </c>
      <c r="F207" s="544" t="s">
        <v>707</v>
      </c>
      <c r="G207" s="2370" t="s">
        <v>574</v>
      </c>
      <c r="H207" s="755"/>
      <c r="I207" s="755">
        <v>3.9</v>
      </c>
      <c r="J207" s="755"/>
      <c r="K207" s="755"/>
      <c r="L207" s="755"/>
      <c r="M207" s="755"/>
      <c r="N207" s="755"/>
      <c r="O207" s="755"/>
      <c r="P207" s="1529" t="s">
        <v>575</v>
      </c>
      <c r="Q207" s="738"/>
      <c r="R207" s="1646"/>
      <c r="S207" s="1646"/>
      <c r="T207" s="1370"/>
      <c r="U207" s="1370"/>
      <c r="V207" s="1370"/>
      <c r="W207" s="1370"/>
      <c r="X207" s="1646"/>
      <c r="Y207" s="1370"/>
      <c r="Z207" s="1370"/>
      <c r="AA207" s="740"/>
      <c r="AB207" s="1370"/>
      <c r="AC207" s="1370"/>
      <c r="AD207" s="1370"/>
      <c r="AE207" s="1370"/>
      <c r="AF207" s="1370"/>
      <c r="AG207" s="1636"/>
      <c r="AH207" s="1636"/>
      <c r="AI207" s="1636"/>
      <c r="AJ207" s="1636"/>
      <c r="AK207" s="1636"/>
      <c r="AL207" s="1639">
        <v>0</v>
      </c>
    </row>
    <row s="1854" customFormat="1" customHeight="1" ht="18.75">
      <c r="A208" s="991"/>
      <c r="B208" s="1370"/>
      <c r="C208" s="1646"/>
      <c r="D208" s="687" t="s">
        <v>104</v>
      </c>
      <c r="E208" s="550" t="str">
        <f>E112&amp;".95"</f>
        <v>7.95</v>
      </c>
      <c r="F208" s="544" t="s">
        <v>708</v>
      </c>
      <c r="G208" s="2370" t="s">
        <v>574</v>
      </c>
      <c r="H208" s="755"/>
      <c r="I208" s="755">
        <v>1.7</v>
      </c>
      <c r="J208" s="755"/>
      <c r="K208" s="755"/>
      <c r="L208" s="755"/>
      <c r="M208" s="755"/>
      <c r="N208" s="755"/>
      <c r="O208" s="755"/>
      <c r="P208" s="1529" t="s">
        <v>575</v>
      </c>
      <c r="Q208" s="738"/>
      <c r="R208" s="1646"/>
      <c r="S208" s="1646"/>
      <c r="T208" s="1370"/>
      <c r="U208" s="1370"/>
      <c r="V208" s="1370"/>
      <c r="W208" s="1370"/>
      <c r="X208" s="1646"/>
      <c r="Y208" s="1370"/>
      <c r="Z208" s="1370"/>
      <c r="AA208" s="740"/>
      <c r="AB208" s="1370"/>
      <c r="AC208" s="1370"/>
      <c r="AD208" s="1370"/>
      <c r="AE208" s="1370"/>
      <c r="AF208" s="1370"/>
      <c r="AG208" s="1636"/>
      <c r="AH208" s="1636"/>
      <c r="AI208" s="1636"/>
      <c r="AJ208" s="1636"/>
      <c r="AK208" s="1636"/>
      <c r="AL208" s="1639">
        <v>0</v>
      </c>
    </row>
    <row s="1854" customFormat="1" customHeight="1" ht="18.75">
      <c r="A209" s="991"/>
      <c r="B209" s="1370"/>
      <c r="C209" s="1646"/>
      <c r="D209" s="687" t="s">
        <v>104</v>
      </c>
      <c r="E209" s="550" t="str">
        <f>E112&amp;".96"</f>
        <v>7.96</v>
      </c>
      <c r="F209" s="544" t="s">
        <v>709</v>
      </c>
      <c r="G209" s="2370" t="s">
        <v>574</v>
      </c>
      <c r="H209" s="755"/>
      <c r="I209" s="755">
        <v>2.15</v>
      </c>
      <c r="J209" s="755"/>
      <c r="K209" s="755"/>
      <c r="L209" s="755"/>
      <c r="M209" s="755"/>
      <c r="N209" s="755"/>
      <c r="O209" s="755"/>
      <c r="P209" s="1529" t="s">
        <v>575</v>
      </c>
      <c r="Q209" s="738"/>
      <c r="R209" s="1646"/>
      <c r="S209" s="1646"/>
      <c r="T209" s="1370"/>
      <c r="U209" s="1370"/>
      <c r="V209" s="1370"/>
      <c r="W209" s="1370"/>
      <c r="X209" s="1646"/>
      <c r="Y209" s="1370"/>
      <c r="Z209" s="1370"/>
      <c r="AA209" s="740"/>
      <c r="AB209" s="1370"/>
      <c r="AC209" s="1370"/>
      <c r="AD209" s="1370"/>
      <c r="AE209" s="1370"/>
      <c r="AF209" s="1370"/>
      <c r="AG209" s="1636"/>
      <c r="AH209" s="1636"/>
      <c r="AI209" s="1636"/>
      <c r="AJ209" s="1636"/>
      <c r="AK209" s="1636"/>
      <c r="AL209" s="1639">
        <v>0</v>
      </c>
    </row>
    <row s="1854" customFormat="1" customHeight="1" ht="18.75">
      <c r="A210" s="991"/>
      <c r="B210" s="1370"/>
      <c r="C210" s="1646"/>
      <c r="D210" s="687" t="s">
        <v>104</v>
      </c>
      <c r="E210" s="550" t="str">
        <f>E112&amp;".97"</f>
        <v>7.97</v>
      </c>
      <c r="F210" s="544" t="s">
        <v>710</v>
      </c>
      <c r="G210" s="2370" t="s">
        <v>574</v>
      </c>
      <c r="H210" s="755"/>
      <c r="I210" s="755">
        <v>2.15</v>
      </c>
      <c r="J210" s="755"/>
      <c r="K210" s="755"/>
      <c r="L210" s="755"/>
      <c r="M210" s="755"/>
      <c r="N210" s="755"/>
      <c r="O210" s="755"/>
      <c r="P210" s="1529" t="s">
        <v>575</v>
      </c>
      <c r="Q210" s="738"/>
      <c r="R210" s="1646"/>
      <c r="S210" s="1646"/>
      <c r="T210" s="1370"/>
      <c r="U210" s="1370"/>
      <c r="V210" s="1370"/>
      <c r="W210" s="1370"/>
      <c r="X210" s="1646"/>
      <c r="Y210" s="1370"/>
      <c r="Z210" s="1370"/>
      <c r="AA210" s="740"/>
      <c r="AB210" s="1370"/>
      <c r="AC210" s="1370"/>
      <c r="AD210" s="1370"/>
      <c r="AE210" s="1370"/>
      <c r="AF210" s="1370"/>
      <c r="AG210" s="1636"/>
      <c r="AH210" s="1636"/>
      <c r="AI210" s="1636"/>
      <c r="AJ210" s="1636"/>
      <c r="AK210" s="1636"/>
      <c r="AL210" s="1639">
        <v>0</v>
      </c>
    </row>
    <row s="1854" customFormat="1" customHeight="1" ht="18.75">
      <c r="A211" s="991"/>
      <c r="B211" s="1370"/>
      <c r="C211" s="1646"/>
      <c r="D211" s="687" t="s">
        <v>104</v>
      </c>
      <c r="E211" s="550" t="str">
        <f>E112&amp;".98"</f>
        <v>7.98</v>
      </c>
      <c r="F211" s="544" t="s">
        <v>711</v>
      </c>
      <c r="G211" s="2370" t="s">
        <v>574</v>
      </c>
      <c r="H211" s="755"/>
      <c r="I211" s="755">
        <v>2.37</v>
      </c>
      <c r="J211" s="755"/>
      <c r="K211" s="755"/>
      <c r="L211" s="755"/>
      <c r="M211" s="755"/>
      <c r="N211" s="755"/>
      <c r="O211" s="755"/>
      <c r="P211" s="1529" t="s">
        <v>575</v>
      </c>
      <c r="Q211" s="738"/>
      <c r="R211" s="1646"/>
      <c r="S211" s="1646"/>
      <c r="T211" s="1370"/>
      <c r="U211" s="1370"/>
      <c r="V211" s="1370"/>
      <c r="W211" s="1370"/>
      <c r="X211" s="1646"/>
      <c r="Y211" s="1370"/>
      <c r="Z211" s="1370"/>
      <c r="AA211" s="740"/>
      <c r="AB211" s="1370"/>
      <c r="AC211" s="1370"/>
      <c r="AD211" s="1370"/>
      <c r="AE211" s="1370"/>
      <c r="AF211" s="1370"/>
      <c r="AG211" s="1636"/>
      <c r="AH211" s="1636"/>
      <c r="AI211" s="1636"/>
      <c r="AJ211" s="1636"/>
      <c r="AK211" s="1636"/>
      <c r="AL211" s="1639">
        <v>0</v>
      </c>
    </row>
    <row s="1854" customFormat="1" customHeight="1" ht="18.75">
      <c r="A212" s="991"/>
      <c r="B212" s="1370"/>
      <c r="C212" s="1646"/>
      <c r="D212" s="687" t="s">
        <v>104</v>
      </c>
      <c r="E212" s="550" t="str">
        <f>E112&amp;".99"</f>
        <v>7.99</v>
      </c>
      <c r="F212" s="544" t="s">
        <v>712</v>
      </c>
      <c r="G212" s="2370" t="s">
        <v>574</v>
      </c>
      <c r="H212" s="755"/>
      <c r="I212" s="755">
        <v>24.92</v>
      </c>
      <c r="J212" s="755"/>
      <c r="K212" s="755"/>
      <c r="L212" s="755"/>
      <c r="M212" s="755"/>
      <c r="N212" s="755"/>
      <c r="O212" s="755"/>
      <c r="P212" s="1529" t="s">
        <v>575</v>
      </c>
      <c r="Q212" s="738"/>
      <c r="R212" s="1646"/>
      <c r="S212" s="1646"/>
      <c r="T212" s="1370"/>
      <c r="U212" s="1370"/>
      <c r="V212" s="1370"/>
      <c r="W212" s="1370"/>
      <c r="X212" s="1646"/>
      <c r="Y212" s="1370"/>
      <c r="Z212" s="1370"/>
      <c r="AA212" s="740"/>
      <c r="AB212" s="1370"/>
      <c r="AC212" s="1370"/>
      <c r="AD212" s="1370"/>
      <c r="AE212" s="1370"/>
      <c r="AF212" s="1370"/>
      <c r="AG212" s="1636"/>
      <c r="AH212" s="1636"/>
      <c r="AI212" s="1636"/>
      <c r="AJ212" s="1636"/>
      <c r="AK212" s="1636"/>
      <c r="AL212" s="1639">
        <v>0</v>
      </c>
    </row>
    <row s="1854" customFormat="1" customHeight="1" ht="18.75">
      <c r="A213" s="991"/>
      <c r="B213" s="1370"/>
      <c r="C213" s="1646"/>
      <c r="D213" s="687" t="s">
        <v>104</v>
      </c>
      <c r="E213" s="550" t="str">
        <f>E112&amp;".100"</f>
        <v>7.100</v>
      </c>
      <c r="F213" s="544" t="s">
        <v>713</v>
      </c>
      <c r="G213" s="2370" t="s">
        <v>574</v>
      </c>
      <c r="H213" s="755"/>
      <c r="I213" s="755">
        <v>16</v>
      </c>
      <c r="J213" s="755"/>
      <c r="K213" s="755"/>
      <c r="L213" s="755"/>
      <c r="M213" s="755"/>
      <c r="N213" s="755"/>
      <c r="O213" s="755"/>
      <c r="P213" s="1529" t="s">
        <v>575</v>
      </c>
      <c r="Q213" s="738"/>
      <c r="R213" s="1646"/>
      <c r="S213" s="1646"/>
      <c r="T213" s="1370"/>
      <c r="U213" s="1370"/>
      <c r="V213" s="1370"/>
      <c r="W213" s="1370"/>
      <c r="X213" s="1646"/>
      <c r="Y213" s="1370"/>
      <c r="Z213" s="1370"/>
      <c r="AA213" s="740"/>
      <c r="AB213" s="1370"/>
      <c r="AC213" s="1370"/>
      <c r="AD213" s="1370"/>
      <c r="AE213" s="1370"/>
      <c r="AF213" s="1370"/>
      <c r="AG213" s="1636"/>
      <c r="AH213" s="1636"/>
      <c r="AI213" s="1636"/>
      <c r="AJ213" s="1636"/>
      <c r="AK213" s="1636"/>
      <c r="AL213" s="1639">
        <v>0</v>
      </c>
    </row>
    <row s="1854" customFormat="1" customHeight="1" ht="18.75">
      <c r="A214" s="991"/>
      <c r="B214" s="1370"/>
      <c r="C214" s="1646"/>
      <c r="D214" s="687" t="s">
        <v>104</v>
      </c>
      <c r="E214" s="550" t="str">
        <f>E112&amp;".101"</f>
        <v>7.101</v>
      </c>
      <c r="F214" s="544" t="s">
        <v>714</v>
      </c>
      <c r="G214" s="2370" t="s">
        <v>574</v>
      </c>
      <c r="H214" s="755"/>
      <c r="I214" s="755">
        <v>1.62</v>
      </c>
      <c r="J214" s="755"/>
      <c r="K214" s="755"/>
      <c r="L214" s="755"/>
      <c r="M214" s="755"/>
      <c r="N214" s="755"/>
      <c r="O214" s="755"/>
      <c r="P214" s="1529" t="s">
        <v>575</v>
      </c>
      <c r="Q214" s="738"/>
      <c r="R214" s="1646"/>
      <c r="S214" s="1646"/>
      <c r="T214" s="1370"/>
      <c r="U214" s="1370"/>
      <c r="V214" s="1370"/>
      <c r="W214" s="1370"/>
      <c r="X214" s="1646"/>
      <c r="Y214" s="1370"/>
      <c r="Z214" s="1370"/>
      <c r="AA214" s="740"/>
      <c r="AB214" s="1370"/>
      <c r="AC214" s="1370"/>
      <c r="AD214" s="1370"/>
      <c r="AE214" s="1370"/>
      <c r="AF214" s="1370"/>
      <c r="AG214" s="1636"/>
      <c r="AH214" s="1636"/>
      <c r="AI214" s="1636"/>
      <c r="AJ214" s="1636"/>
      <c r="AK214" s="1636"/>
      <c r="AL214" s="1639">
        <v>0</v>
      </c>
    </row>
    <row s="1854" customFormat="1" customHeight="1" ht="18.75">
      <c r="A215" s="991"/>
      <c r="B215" s="1370"/>
      <c r="C215" s="1646"/>
      <c r="D215" s="687" t="s">
        <v>104</v>
      </c>
      <c r="E215" s="550" t="str">
        <f>E112&amp;".102"</f>
        <v>7.102</v>
      </c>
      <c r="F215" s="544" t="s">
        <v>715</v>
      </c>
      <c r="G215" s="2370" t="s">
        <v>574</v>
      </c>
      <c r="H215" s="755"/>
      <c r="I215" s="755">
        <v>2.67</v>
      </c>
      <c r="J215" s="755"/>
      <c r="K215" s="755"/>
      <c r="L215" s="755"/>
      <c r="M215" s="755"/>
      <c r="N215" s="755"/>
      <c r="O215" s="755"/>
      <c r="P215" s="1529" t="s">
        <v>575</v>
      </c>
      <c r="Q215" s="738"/>
      <c r="R215" s="1646"/>
      <c r="S215" s="1646"/>
      <c r="T215" s="1370"/>
      <c r="U215" s="1370"/>
      <c r="V215" s="1370"/>
      <c r="W215" s="1370"/>
      <c r="X215" s="1646"/>
      <c r="Y215" s="1370"/>
      <c r="Z215" s="1370"/>
      <c r="AA215" s="740"/>
      <c r="AB215" s="1370"/>
      <c r="AC215" s="1370"/>
      <c r="AD215" s="1370"/>
      <c r="AE215" s="1370"/>
      <c r="AF215" s="1370"/>
      <c r="AG215" s="1636"/>
      <c r="AH215" s="1636"/>
      <c r="AI215" s="1636"/>
      <c r="AJ215" s="1636"/>
      <c r="AK215" s="1636"/>
      <c r="AL215" s="1639">
        <v>0</v>
      </c>
    </row>
    <row s="1854" customFormat="1" customHeight="1" ht="18.75">
      <c r="A216" s="991"/>
      <c r="B216" s="1370"/>
      <c r="C216" s="1646"/>
      <c r="D216" s="687" t="s">
        <v>104</v>
      </c>
      <c r="E216" s="550" t="str">
        <f>E112&amp;".103"</f>
        <v>7.103</v>
      </c>
      <c r="F216" s="544" t="s">
        <v>716</v>
      </c>
      <c r="G216" s="2370" t="s">
        <v>574</v>
      </c>
      <c r="H216" s="755"/>
      <c r="I216" s="755">
        <v>0.84</v>
      </c>
      <c r="J216" s="755"/>
      <c r="K216" s="755"/>
      <c r="L216" s="755"/>
      <c r="M216" s="755"/>
      <c r="N216" s="755"/>
      <c r="O216" s="755"/>
      <c r="P216" s="1529" t="s">
        <v>575</v>
      </c>
      <c r="Q216" s="738"/>
      <c r="R216" s="1646"/>
      <c r="S216" s="1646"/>
      <c r="T216" s="1370"/>
      <c r="U216" s="1370"/>
      <c r="V216" s="1370"/>
      <c r="W216" s="1370"/>
      <c r="X216" s="1646"/>
      <c r="Y216" s="1370"/>
      <c r="Z216" s="1370"/>
      <c r="AA216" s="740"/>
      <c r="AB216" s="1370"/>
      <c r="AC216" s="1370"/>
      <c r="AD216" s="1370"/>
      <c r="AE216" s="1370"/>
      <c r="AF216" s="1370"/>
      <c r="AG216" s="1636"/>
      <c r="AH216" s="1636"/>
      <c r="AI216" s="1636"/>
      <c r="AJ216" s="1636"/>
      <c r="AK216" s="1636"/>
      <c r="AL216" s="1639">
        <v>0</v>
      </c>
    </row>
    <row s="1854" customFormat="1" customHeight="1" ht="18.75">
      <c r="A217" s="991"/>
      <c r="B217" s="1370"/>
      <c r="C217" s="1646"/>
      <c r="D217" s="687" t="s">
        <v>104</v>
      </c>
      <c r="E217" s="550" t="str">
        <f>E112&amp;".104"</f>
        <v>7.104</v>
      </c>
      <c r="F217" s="544" t="s">
        <v>717</v>
      </c>
      <c r="G217" s="2370" t="s">
        <v>574</v>
      </c>
      <c r="H217" s="755"/>
      <c r="I217" s="755">
        <v>3.38</v>
      </c>
      <c r="J217" s="755"/>
      <c r="K217" s="755"/>
      <c r="L217" s="755"/>
      <c r="M217" s="755"/>
      <c r="N217" s="755"/>
      <c r="O217" s="755"/>
      <c r="P217" s="1529" t="s">
        <v>575</v>
      </c>
      <c r="Q217" s="738"/>
      <c r="R217" s="1646"/>
      <c r="S217" s="1646"/>
      <c r="T217" s="1370"/>
      <c r="U217" s="1370"/>
      <c r="V217" s="1370"/>
      <c r="W217" s="1370"/>
      <c r="X217" s="1646"/>
      <c r="Y217" s="1370"/>
      <c r="Z217" s="1370"/>
      <c r="AA217" s="740"/>
      <c r="AB217" s="1370"/>
      <c r="AC217" s="1370"/>
      <c r="AD217" s="1370"/>
      <c r="AE217" s="1370"/>
      <c r="AF217" s="1370"/>
      <c r="AG217" s="1636"/>
      <c r="AH217" s="1636"/>
      <c r="AI217" s="1636"/>
      <c r="AJ217" s="1636"/>
      <c r="AK217" s="1636"/>
      <c r="AL217" s="1639">
        <v>0</v>
      </c>
    </row>
    <row s="1854" customFormat="1" customHeight="1" ht="18.75">
      <c r="A218" s="991"/>
      <c r="B218" s="1370"/>
      <c r="C218" s="1646"/>
      <c r="D218" s="687" t="s">
        <v>104</v>
      </c>
      <c r="E218" s="550" t="str">
        <f>E112&amp;".105"</f>
        <v>7.105</v>
      </c>
      <c r="F218" s="544" t="s">
        <v>718</v>
      </c>
      <c r="G218" s="2370" t="s">
        <v>574</v>
      </c>
      <c r="H218" s="755"/>
      <c r="I218" s="755">
        <v>2.24</v>
      </c>
      <c r="J218" s="755"/>
      <c r="K218" s="755"/>
      <c r="L218" s="755"/>
      <c r="M218" s="755"/>
      <c r="N218" s="755"/>
      <c r="O218" s="755"/>
      <c r="P218" s="1529" t="s">
        <v>575</v>
      </c>
      <c r="Q218" s="738"/>
      <c r="R218" s="1646"/>
      <c r="S218" s="1646"/>
      <c r="T218" s="1370"/>
      <c r="U218" s="1370"/>
      <c r="V218" s="1370"/>
      <c r="W218" s="1370"/>
      <c r="X218" s="1646"/>
      <c r="Y218" s="1370"/>
      <c r="Z218" s="1370"/>
      <c r="AA218" s="740"/>
      <c r="AB218" s="1370"/>
      <c r="AC218" s="1370"/>
      <c r="AD218" s="1370"/>
      <c r="AE218" s="1370"/>
      <c r="AF218" s="1370"/>
      <c r="AG218" s="1636"/>
      <c r="AH218" s="1636"/>
      <c r="AI218" s="1636"/>
      <c r="AJ218" s="1636"/>
      <c r="AK218" s="1636"/>
      <c r="AL218" s="1639">
        <v>0</v>
      </c>
    </row>
    <row s="1854" customFormat="1" customHeight="1" ht="18.75">
      <c r="A219" s="991"/>
      <c r="B219" s="1370"/>
      <c r="C219" s="1646"/>
      <c r="D219" s="687" t="s">
        <v>104</v>
      </c>
      <c r="E219" s="550" t="str">
        <f>E112&amp;".106"</f>
        <v>7.106</v>
      </c>
      <c r="F219" s="544" t="s">
        <v>719</v>
      </c>
      <c r="G219" s="2370" t="s">
        <v>574</v>
      </c>
      <c r="H219" s="755"/>
      <c r="I219" s="755">
        <v>1.85</v>
      </c>
      <c r="J219" s="755"/>
      <c r="K219" s="755"/>
      <c r="L219" s="755"/>
      <c r="M219" s="755"/>
      <c r="N219" s="755"/>
      <c r="O219" s="755"/>
      <c r="P219" s="1529" t="s">
        <v>575</v>
      </c>
      <c r="Q219" s="738"/>
      <c r="R219" s="1646"/>
      <c r="S219" s="1646"/>
      <c r="T219" s="1370"/>
      <c r="U219" s="1370"/>
      <c r="V219" s="1370"/>
      <c r="W219" s="1370"/>
      <c r="X219" s="1646"/>
      <c r="Y219" s="1370"/>
      <c r="Z219" s="1370"/>
      <c r="AA219" s="740"/>
      <c r="AB219" s="1370"/>
      <c r="AC219" s="1370"/>
      <c r="AD219" s="1370"/>
      <c r="AE219" s="1370"/>
      <c r="AF219" s="1370"/>
      <c r="AG219" s="1636"/>
      <c r="AH219" s="1636"/>
      <c r="AI219" s="1636"/>
      <c r="AJ219" s="1636"/>
      <c r="AK219" s="1636"/>
      <c r="AL219" s="1639">
        <v>0</v>
      </c>
    </row>
    <row s="1854" customFormat="1" customHeight="1" ht="18.75">
      <c r="A220" s="991"/>
      <c r="B220" s="1370"/>
      <c r="C220" s="1646"/>
      <c r="D220" s="687" t="s">
        <v>104</v>
      </c>
      <c r="E220" s="550" t="str">
        <f>E112&amp;".107"</f>
        <v>7.107</v>
      </c>
      <c r="F220" s="544" t="s">
        <v>720</v>
      </c>
      <c r="G220" s="2370" t="s">
        <v>574</v>
      </c>
      <c r="H220" s="755"/>
      <c r="I220" s="755"/>
      <c r="J220" s="755">
        <v>19.26</v>
      </c>
      <c r="K220" s="755"/>
      <c r="L220" s="755"/>
      <c r="M220" s="755"/>
      <c r="N220" s="755"/>
      <c r="O220" s="755"/>
      <c r="P220" s="1529" t="s">
        <v>575</v>
      </c>
      <c r="Q220" s="738"/>
      <c r="R220" s="1646"/>
      <c r="S220" s="1646"/>
      <c r="T220" s="1370"/>
      <c r="U220" s="1370"/>
      <c r="V220" s="1370"/>
      <c r="W220" s="1370"/>
      <c r="X220" s="1646"/>
      <c r="Y220" s="1370"/>
      <c r="Z220" s="1370"/>
      <c r="AA220" s="740"/>
      <c r="AB220" s="1370"/>
      <c r="AC220" s="1370"/>
      <c r="AD220" s="1370"/>
      <c r="AE220" s="1370"/>
      <c r="AF220" s="1370"/>
      <c r="AG220" s="1636"/>
      <c r="AH220" s="1636"/>
      <c r="AI220" s="1636"/>
      <c r="AJ220" s="1636"/>
      <c r="AK220" s="1636"/>
      <c r="AL220" s="1639">
        <v>0</v>
      </c>
    </row>
    <row s="1854" customFormat="1" customHeight="1" ht="18.75">
      <c r="A221" s="991"/>
      <c r="B221" s="1370"/>
      <c r="C221" s="1646"/>
      <c r="D221" s="687" t="s">
        <v>104</v>
      </c>
      <c r="E221" s="550" t="str">
        <f>E112&amp;".108"</f>
        <v>7.108</v>
      </c>
      <c r="F221" s="544" t="s">
        <v>721</v>
      </c>
      <c r="G221" s="2370" t="s">
        <v>574</v>
      </c>
      <c r="H221" s="755"/>
      <c r="I221" s="755"/>
      <c r="J221" s="755"/>
      <c r="K221" s="755">
        <v>4.21</v>
      </c>
      <c r="L221" s="755"/>
      <c r="M221" s="755"/>
      <c r="N221" s="755"/>
      <c r="O221" s="755"/>
      <c r="P221" s="1529" t="s">
        <v>575</v>
      </c>
      <c r="Q221" s="738"/>
      <c r="R221" s="1646"/>
      <c r="S221" s="1646"/>
      <c r="T221" s="1370"/>
      <c r="U221" s="1370"/>
      <c r="V221" s="1370"/>
      <c r="W221" s="1370"/>
      <c r="X221" s="1646"/>
      <c r="Y221" s="1370"/>
      <c r="Z221" s="1370"/>
      <c r="AA221" s="740"/>
      <c r="AB221" s="1370"/>
      <c r="AC221" s="1370"/>
      <c r="AD221" s="1370"/>
      <c r="AE221" s="1370"/>
      <c r="AF221" s="1370"/>
      <c r="AG221" s="1636"/>
      <c r="AH221" s="1636"/>
      <c r="AI221" s="1636"/>
      <c r="AJ221" s="1636"/>
      <c r="AK221" s="1636"/>
      <c r="AL221" s="1639">
        <v>0</v>
      </c>
    </row>
    <row s="1854" customFormat="1" customHeight="1" ht="18.75">
      <c r="A222" s="991"/>
      <c r="B222" s="1370"/>
      <c r="C222" s="1646"/>
      <c r="D222" s="687" t="s">
        <v>104</v>
      </c>
      <c r="E222" s="550" t="str">
        <f>E112&amp;".109"</f>
        <v>7.109</v>
      </c>
      <c r="F222" s="544" t="s">
        <v>722</v>
      </c>
      <c r="G222" s="2370" t="s">
        <v>574</v>
      </c>
      <c r="H222" s="755"/>
      <c r="I222" s="755"/>
      <c r="J222" s="755"/>
      <c r="K222" s="755">
        <v>13.41</v>
      </c>
      <c r="L222" s="755"/>
      <c r="M222" s="755"/>
      <c r="N222" s="755"/>
      <c r="O222" s="755"/>
      <c r="P222" s="1529" t="s">
        <v>575</v>
      </c>
      <c r="Q222" s="738"/>
      <c r="R222" s="1646"/>
      <c r="S222" s="1646"/>
      <c r="T222" s="1370"/>
      <c r="U222" s="1370"/>
      <c r="V222" s="1370"/>
      <c r="W222" s="1370"/>
      <c r="X222" s="1646"/>
      <c r="Y222" s="1370"/>
      <c r="Z222" s="1370"/>
      <c r="AA222" s="740"/>
      <c r="AB222" s="1370"/>
      <c r="AC222" s="1370"/>
      <c r="AD222" s="1370"/>
      <c r="AE222" s="1370"/>
      <c r="AF222" s="1370"/>
      <c r="AG222" s="1636"/>
      <c r="AH222" s="1636"/>
      <c r="AI222" s="1636"/>
      <c r="AJ222" s="1636"/>
      <c r="AK222" s="1636"/>
      <c r="AL222" s="1639">
        <v>0</v>
      </c>
    </row>
    <row s="1854" customFormat="1" customHeight="1" ht="18.75">
      <c r="A223" s="991"/>
      <c r="B223" s="1370"/>
      <c r="C223" s="1646"/>
      <c r="D223" s="687" t="s">
        <v>104</v>
      </c>
      <c r="E223" s="550" t="str">
        <f>E112&amp;".110"</f>
        <v>7.110</v>
      </c>
      <c r="F223" s="544" t="s">
        <v>723</v>
      </c>
      <c r="G223" s="2370" t="s">
        <v>574</v>
      </c>
      <c r="H223" s="755"/>
      <c r="I223" s="755"/>
      <c r="J223" s="755"/>
      <c r="K223" s="755">
        <v>0.2</v>
      </c>
      <c r="L223" s="755"/>
      <c r="M223" s="755"/>
      <c r="N223" s="755"/>
      <c r="O223" s="755"/>
      <c r="P223" s="1529" t="s">
        <v>575</v>
      </c>
      <c r="Q223" s="738"/>
      <c r="R223" s="1646"/>
      <c r="S223" s="1646"/>
      <c r="T223" s="1370"/>
      <c r="U223" s="1370"/>
      <c r="V223" s="1370"/>
      <c r="W223" s="1370"/>
      <c r="X223" s="1646"/>
      <c r="Y223" s="1370"/>
      <c r="Z223" s="1370"/>
      <c r="AA223" s="740"/>
      <c r="AB223" s="1370"/>
      <c r="AC223" s="1370"/>
      <c r="AD223" s="1370"/>
      <c r="AE223" s="1370"/>
      <c r="AF223" s="1370"/>
      <c r="AG223" s="1636"/>
      <c r="AH223" s="1636"/>
      <c r="AI223" s="1636"/>
      <c r="AJ223" s="1636"/>
      <c r="AK223" s="1636"/>
      <c r="AL223" s="1639">
        <v>0</v>
      </c>
    </row>
    <row s="1854" customFormat="1" customHeight="1" ht="18.75">
      <c r="A224" s="991"/>
      <c r="B224" s="1370"/>
      <c r="C224" s="1646"/>
      <c r="D224" s="687" t="s">
        <v>104</v>
      </c>
      <c r="E224" s="550" t="str">
        <f>E112&amp;".111"</f>
        <v>7.111</v>
      </c>
      <c r="F224" s="544" t="s">
        <v>724</v>
      </c>
      <c r="G224" s="2370" t="s">
        <v>574</v>
      </c>
      <c r="H224" s="755"/>
      <c r="I224" s="755"/>
      <c r="J224" s="755"/>
      <c r="K224" s="755">
        <v>0.52</v>
      </c>
      <c r="L224" s="755"/>
      <c r="M224" s="755"/>
      <c r="N224" s="755"/>
      <c r="O224" s="755"/>
      <c r="P224" s="1529" t="s">
        <v>575</v>
      </c>
      <c r="Q224" s="738"/>
      <c r="R224" s="1646"/>
      <c r="S224" s="1646"/>
      <c r="T224" s="1370"/>
      <c r="U224" s="1370"/>
      <c r="V224" s="1370"/>
      <c r="W224" s="1370"/>
      <c r="X224" s="1646"/>
      <c r="Y224" s="1370"/>
      <c r="Z224" s="1370"/>
      <c r="AA224" s="740"/>
      <c r="AB224" s="1370"/>
      <c r="AC224" s="1370"/>
      <c r="AD224" s="1370"/>
      <c r="AE224" s="1370"/>
      <c r="AF224" s="1370"/>
      <c r="AG224" s="1636"/>
      <c r="AH224" s="1636"/>
      <c r="AI224" s="1636"/>
      <c r="AJ224" s="1636"/>
      <c r="AK224" s="1636"/>
      <c r="AL224" s="1639">
        <v>0</v>
      </c>
    </row>
    <row s="1854" customFormat="1" customHeight="1" ht="18.75">
      <c r="A225" s="991"/>
      <c r="B225" s="1370"/>
      <c r="C225" s="1646"/>
      <c r="D225" s="687" t="s">
        <v>104</v>
      </c>
      <c r="E225" s="550" t="str">
        <f>E112&amp;".112"</f>
        <v>7.112</v>
      </c>
      <c r="F225" s="544" t="s">
        <v>725</v>
      </c>
      <c r="G225" s="2370" t="s">
        <v>574</v>
      </c>
      <c r="H225" s="755"/>
      <c r="I225" s="755"/>
      <c r="J225" s="755"/>
      <c r="K225" s="755">
        <v>0.62</v>
      </c>
      <c r="L225" s="755"/>
      <c r="M225" s="755"/>
      <c r="N225" s="755"/>
      <c r="O225" s="755"/>
      <c r="P225" s="1529" t="s">
        <v>575</v>
      </c>
      <c r="Q225" s="738"/>
      <c r="R225" s="1646"/>
      <c r="S225" s="1646"/>
      <c r="T225" s="1370"/>
      <c r="U225" s="1370"/>
      <c r="V225" s="1370"/>
      <c r="W225" s="1370"/>
      <c r="X225" s="1646"/>
      <c r="Y225" s="1370"/>
      <c r="Z225" s="1370"/>
      <c r="AA225" s="740"/>
      <c r="AB225" s="1370"/>
      <c r="AC225" s="1370"/>
      <c r="AD225" s="1370"/>
      <c r="AE225" s="1370"/>
      <c r="AF225" s="1370"/>
      <c r="AG225" s="1636"/>
      <c r="AH225" s="1636"/>
      <c r="AI225" s="1636"/>
      <c r="AJ225" s="1636"/>
      <c r="AK225" s="1636"/>
      <c r="AL225" s="1639">
        <v>0</v>
      </c>
    </row>
    <row customHeight="1" ht="15">
      <c r="A226" s="2375"/>
      <c r="D226" s="1637"/>
      <c r="E226" s="975"/>
      <c r="F226" s="976" t="s">
        <v>726</v>
      </c>
      <c r="G226" s="576"/>
      <c r="H226" s="577"/>
      <c r="I226" s="577"/>
      <c r="J226" s="2658"/>
      <c r="K226" s="2659"/>
      <c r="L226" s="2660"/>
      <c r="M226" s="2661"/>
      <c r="N226" s="2662"/>
      <c r="O226" s="2663"/>
      <c r="P226" s="1008" t="s">
        <v>727</v>
      </c>
      <c r="Q226" s="547"/>
      <c r="AL226" s="1635">
        <v>0</v>
      </c>
    </row>
    <row s="1370" customFormat="1" customHeight="1" ht="30">
      <c r="A227" s="2375"/>
      <c r="C227" s="1640"/>
      <c r="D227" s="1642"/>
      <c r="E227" s="550" t="str">
        <f>FHD_NUM_P_62</f>
        <v>8</v>
      </c>
      <c r="F227" s="1884" t="str">
        <f>FHD_P_62</f>
        <v>Тепловая нагрузка по договорам, заключенным в рамках осуществления регулируемых видов деятельности</v>
      </c>
      <c r="G227" s="1881" t="s">
        <v>574</v>
      </c>
      <c r="H227" s="561"/>
      <c r="I227" s="561">
        <v>2021.92</v>
      </c>
      <c r="J227" s="561">
        <v>13.0001</v>
      </c>
      <c r="K227" s="561">
        <v>14.0246</v>
      </c>
      <c r="L227" s="561">
        <v>0</v>
      </c>
      <c r="M227" s="561">
        <v>0</v>
      </c>
      <c r="N227" s="561">
        <v>0</v>
      </c>
      <c r="O227" s="561">
        <v>0</v>
      </c>
      <c r="P227" s="293" t="str">
        <f>FHD_NOTE_P_62</f>
        <v>Регулируемыми организациями указывается информация по договорам, заключенным в рамках осуществления регулируемых видов деятельности</v>
      </c>
      <c r="Q227" s="547"/>
      <c r="R227" s="1640"/>
      <c r="S227" s="1640"/>
      <c r="X227" s="1640"/>
      <c r="AA227" s="548"/>
      <c r="AG227" s="1636"/>
      <c r="AH227" s="1636"/>
      <c r="AI227" s="1636"/>
      <c r="AJ227" s="1636"/>
      <c r="AK227" s="1636"/>
      <c r="AL227" s="1164">
        <v>0</v>
      </c>
    </row>
    <row s="1370" customFormat="1" customHeight="1" ht="34.5">
      <c r="A228" s="2375"/>
      <c r="C228" s="1640"/>
      <c r="D228" s="1642"/>
      <c r="E228" s="550" t="str">
        <f>FHD_NUM_P_63</f>
        <v>9</v>
      </c>
      <c r="F228" s="1884" t="str">
        <f>FHD_P_63</f>
        <v>Объем вырабатываемой регулируемой организацией тепловой энергии в рамках осуществления регулируемых видов деятельности</v>
      </c>
      <c r="G228" s="1881" t="s">
        <v>611</v>
      </c>
      <c r="H228" s="581"/>
      <c r="I228" s="581">
        <v>3201.2697</v>
      </c>
      <c r="J228" s="581">
        <v>28.4993</v>
      </c>
      <c r="K228" s="581">
        <v>28.3502</v>
      </c>
      <c r="L228" s="581">
        <v>0</v>
      </c>
      <c r="M228" s="581">
        <v>0</v>
      </c>
      <c r="N228" s="581">
        <v>3.6645</v>
      </c>
      <c r="O228" s="581">
        <v>0</v>
      </c>
      <c r="P228" s="29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Q228" s="547"/>
      <c r="R228" s="1640"/>
      <c r="S228" s="1640"/>
      <c r="X228" s="1640"/>
      <c r="AA228" s="548"/>
      <c r="AG228" s="1636"/>
      <c r="AH228" s="1636"/>
      <c r="AI228" s="1636"/>
      <c r="AJ228" s="1636"/>
      <c r="AK228" s="1636"/>
      <c r="AL228" s="1164">
        <v>0</v>
      </c>
    </row>
    <row s="1370" customFormat="1" customHeight="1" ht="33">
      <c r="A229" s="2375"/>
      <c r="C229" s="1640" t="s">
        <v>728</v>
      </c>
      <c r="D229" s="1642"/>
      <c r="E229" s="550" t="str">
        <f>FHD_NUM_P_64</f>
        <v>9.1</v>
      </c>
      <c r="F229" s="1884" t="str">
        <f>FHD_P_64</f>
        <v>Объем приобретаемой регулируемой организацией тепловой энергии в рамках осуществления регулируемых видов деятельности</v>
      </c>
      <c r="G229" s="1881" t="s">
        <v>611</v>
      </c>
      <c r="H229" s="549"/>
      <c r="I229" s="549">
        <v>1437.9597</v>
      </c>
      <c r="J229" s="549"/>
      <c r="K229" s="549"/>
      <c r="L229" s="549"/>
      <c r="M229" s="549"/>
      <c r="N229" s="549"/>
      <c r="O229" s="549" t="s">
        <v>22</v>
      </c>
      <c r="P229" s="293" t="str">
        <f>FHD_NOTE_P_64</f>
        <v>Информация указывается только едиными теплоснабжающими организациями.</v>
      </c>
      <c r="Q229" s="547"/>
      <c r="R229" s="1640"/>
      <c r="S229" s="1640"/>
      <c r="X229" s="1640"/>
      <c r="AA229" s="548"/>
      <c r="AG229" s="1636"/>
      <c r="AH229" s="1636"/>
      <c r="AI229" s="1636"/>
      <c r="AJ229" s="1636"/>
      <c r="AK229" s="1636"/>
      <c r="AL229" s="1164">
        <v>0</v>
      </c>
    </row>
    <row s="1370" customFormat="1" customHeight="1" ht="36">
      <c r="A230" s="2375"/>
      <c r="C230" s="1640"/>
      <c r="D230" s="1642"/>
      <c r="E230" s="550" t="str">
        <f>FHD_NUM_P_65</f>
        <v>10</v>
      </c>
      <c r="F230" s="188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230" s="1881" t="s">
        <v>611</v>
      </c>
      <c r="H230" s="581"/>
      <c r="I230" s="581">
        <v>3978.3725</v>
      </c>
      <c r="J230" s="581">
        <v>22.4607</v>
      </c>
      <c r="K230" s="581">
        <v>28.0862</v>
      </c>
      <c r="L230" s="581">
        <v>0</v>
      </c>
      <c r="M230" s="581">
        <v>0</v>
      </c>
      <c r="N230" s="581">
        <v>3.6645</v>
      </c>
      <c r="O230" s="581">
        <v>0</v>
      </c>
      <c r="P230" s="293"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Q230" s="547"/>
      <c r="R230" s="1640"/>
      <c r="S230" s="1640"/>
      <c r="X230" s="1640"/>
      <c r="AA230" s="548"/>
      <c r="AG230" s="1636"/>
      <c r="AH230" s="1636"/>
      <c r="AI230" s="1636"/>
      <c r="AJ230" s="1636"/>
      <c r="AK230" s="1636"/>
      <c r="AL230" s="1164">
        <v>0</v>
      </c>
    </row>
    <row s="1370" customFormat="1" customHeight="1" ht="18.75">
      <c r="A231" s="2375"/>
      <c r="C231" s="1640"/>
      <c r="D231" s="1642"/>
      <c r="E231" s="550" t="str">
        <f>FHD_NUM_P_66</f>
        <v>10.1</v>
      </c>
      <c r="F231" s="1528" t="str">
        <f>FHD_P_66</f>
        <v>По приборам учёта </v>
      </c>
      <c r="G231" s="1881" t="s">
        <v>611</v>
      </c>
      <c r="H231" s="581"/>
      <c r="I231" s="581">
        <v>2881.5416</v>
      </c>
      <c r="J231" s="581">
        <v>14.6136</v>
      </c>
      <c r="K231" s="581">
        <v>0</v>
      </c>
      <c r="L231" s="581">
        <v>0</v>
      </c>
      <c r="M231" s="581">
        <v>0</v>
      </c>
      <c r="N231" s="581">
        <v>2.7708</v>
      </c>
      <c r="O231" s="581">
        <v>0</v>
      </c>
      <c r="P231" s="293" t="str">
        <f>FHD_NOTE_P_66</f>
        <v/>
      </c>
      <c r="Q231" s="547"/>
      <c r="R231" s="1640"/>
      <c r="S231" s="1640"/>
      <c r="X231" s="1640"/>
      <c r="AA231" s="548"/>
      <c r="AG231" s="1636"/>
      <c r="AH231" s="1636"/>
      <c r="AI231" s="1636"/>
      <c r="AJ231" s="1636"/>
      <c r="AK231" s="1636"/>
      <c r="AL231" s="1164">
        <v>0</v>
      </c>
    </row>
    <row s="1370" customFormat="1" customHeight="1" ht="22.5">
      <c r="A232" s="2375"/>
      <c r="C232" s="1640"/>
      <c r="D232" s="1642"/>
      <c r="E232" s="550" t="str">
        <f>FHD_NUM_P_67</f>
        <v>10.1.1</v>
      </c>
      <c r="F232" s="165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232" s="1881" t="s">
        <v>611</v>
      </c>
      <c r="H232" s="581"/>
      <c r="I232" s="581">
        <v>339.8717</v>
      </c>
      <c r="J232" s="581">
        <v>2.1916</v>
      </c>
      <c r="K232" s="581">
        <v>0</v>
      </c>
      <c r="L232" s="581">
        <v>0</v>
      </c>
      <c r="M232" s="581">
        <v>0</v>
      </c>
      <c r="N232" s="581">
        <v>2.7708</v>
      </c>
      <c r="O232" s="581">
        <v>0</v>
      </c>
      <c r="P232" s="293" t="str">
        <f>FHD_NOTE_P_67</f>
        <v/>
      </c>
      <c r="Q232" s="547"/>
      <c r="R232" s="1640"/>
      <c r="S232" s="1640"/>
      <c r="X232" s="1640"/>
      <c r="AA232" s="548"/>
      <c r="AG232" s="1636"/>
      <c r="AH232" s="1636"/>
      <c r="AI232" s="1636"/>
      <c r="AJ232" s="1636"/>
      <c r="AK232" s="1636"/>
      <c r="AL232" s="1164">
        <v>0</v>
      </c>
    </row>
    <row s="1370" customFormat="1" customHeight="1" ht="18.75">
      <c r="A233" s="2375"/>
      <c r="C233" s="1640"/>
      <c r="D233" s="1642"/>
      <c r="E233" s="550" t="str">
        <f>FHD_NUM_P_68</f>
        <v>10.2</v>
      </c>
      <c r="F233" s="1528" t="str">
        <f>FHD_P_68</f>
        <v>Расчётным путём</v>
      </c>
      <c r="G233" s="1881" t="s">
        <v>611</v>
      </c>
      <c r="H233" s="581"/>
      <c r="I233" s="581">
        <v>1096.8309</v>
      </c>
      <c r="J233" s="581">
        <v>7.8471</v>
      </c>
      <c r="K233" s="581">
        <v>28.0862</v>
      </c>
      <c r="L233" s="581">
        <v>0</v>
      </c>
      <c r="M233" s="581">
        <v>0</v>
      </c>
      <c r="N233" s="581">
        <v>0.8937</v>
      </c>
      <c r="O233" s="581">
        <v>0</v>
      </c>
      <c r="P233" s="293" t="str">
        <f>FHD_NOTE_P_68</f>
        <v/>
      </c>
      <c r="Q233" s="547"/>
      <c r="R233" s="1640"/>
      <c r="S233" s="1640"/>
      <c r="X233" s="1640"/>
      <c r="AA233" s="548"/>
      <c r="AG233" s="1636"/>
      <c r="AH233" s="1636"/>
      <c r="AI233" s="1636"/>
      <c r="AJ233" s="1636"/>
      <c r="AK233" s="1636"/>
      <c r="AL233" s="1164">
        <v>0</v>
      </c>
    </row>
    <row s="1370" customFormat="1" customHeight="1" ht="22.5">
      <c r="A234" s="2375"/>
      <c r="C234" s="1640"/>
      <c r="D234" s="1642"/>
      <c r="E234" s="550" t="str">
        <f>FHD_NUM_P_69</f>
        <v>10.3</v>
      </c>
      <c r="F234" s="1528" t="str">
        <f>FHD_P_69</f>
        <v>По нормативам потребления коммунальных услуг и нормативам потребления коммунальных ресурсов</v>
      </c>
      <c r="G234" s="1881" t="s">
        <v>611</v>
      </c>
      <c r="H234" s="581"/>
      <c r="I234" s="581">
        <v>0</v>
      </c>
      <c r="J234" s="581">
        <v>0</v>
      </c>
      <c r="K234" s="581">
        <v>0</v>
      </c>
      <c r="L234" s="581">
        <v>0</v>
      </c>
      <c r="M234" s="581">
        <v>0</v>
      </c>
      <c r="N234" s="581">
        <v>0</v>
      </c>
      <c r="O234" s="581">
        <v>0</v>
      </c>
      <c r="P234" s="293" t="str">
        <f>FHD_NOTE_P_69</f>
        <v/>
      </c>
      <c r="Q234" s="547"/>
      <c r="R234" s="1640"/>
      <c r="S234" s="1640"/>
      <c r="X234" s="1640"/>
      <c r="AA234" s="548"/>
      <c r="AG234" s="1636"/>
      <c r="AH234" s="1636"/>
      <c r="AI234" s="1636"/>
      <c r="AJ234" s="1636"/>
      <c r="AK234" s="1636"/>
      <c r="AL234" s="1164">
        <v>0</v>
      </c>
    </row>
    <row s="1370" customFormat="1" customHeight="1" ht="36">
      <c r="A235" s="2375"/>
      <c r="C235" s="1640"/>
      <c r="D235" s="1642"/>
      <c r="E235" s="550" t="str">
        <f>FHD_NUM_P_70</f>
        <v>11</v>
      </c>
      <c r="F235" s="1884" t="str">
        <f>FHD_P_70</f>
        <v>Нормативы технологических потерь при передаче тепловой энергии, теплоносителя по тепловым сетям, утвержденные уполномоченным органом</v>
      </c>
      <c r="G235" s="1881" t="s">
        <v>729</v>
      </c>
      <c r="H235" s="561"/>
      <c r="I235" s="561">
        <v>735.67</v>
      </c>
      <c r="J235" s="561">
        <v>5.543</v>
      </c>
      <c r="K235" s="561">
        <v>0.304</v>
      </c>
      <c r="L235" s="561">
        <v>0</v>
      </c>
      <c r="M235" s="561">
        <v>0</v>
      </c>
      <c r="N235" s="561">
        <v>0</v>
      </c>
      <c r="O235" s="561">
        <v>0</v>
      </c>
      <c r="P235" s="293" t="str">
        <f>FHD_NOTE_P_70</f>
        <v/>
      </c>
      <c r="Q235" s="547"/>
      <c r="R235" s="1640"/>
      <c r="S235" s="1640"/>
      <c r="X235" s="1640"/>
      <c r="AA235" s="548"/>
      <c r="AG235" s="1636"/>
      <c r="AH235" s="1636"/>
      <c r="AI235" s="1636"/>
      <c r="AJ235" s="1636"/>
      <c r="AK235" s="1636"/>
      <c r="AL235" s="1164">
        <v>0</v>
      </c>
    </row>
    <row s="1370" customFormat="1" customHeight="1" ht="22.5">
      <c r="A236" s="2375"/>
      <c r="C236" s="1640"/>
      <c r="D236" s="1642"/>
      <c r="E236" s="550" t="str">
        <f>FHD_NUM_P_71</f>
        <v>12</v>
      </c>
      <c r="F236" s="1884" t="str">
        <f>FHD_P_71</f>
        <v>Фактический объем потерь при передаче тепловой энергии</v>
      </c>
      <c r="G236" s="1881" t="s">
        <v>729</v>
      </c>
      <c r="H236" s="561"/>
      <c r="I236" s="561">
        <v>939.3025</v>
      </c>
      <c r="J236" s="561">
        <v>10.41</v>
      </c>
      <c r="K236" s="561">
        <v>0.2641</v>
      </c>
      <c r="L236" s="561">
        <v>0</v>
      </c>
      <c r="M236" s="561">
        <v>0</v>
      </c>
      <c r="N236" s="561">
        <v>0</v>
      </c>
      <c r="O236" s="561">
        <v>0</v>
      </c>
      <c r="P236" s="293" t="str">
        <f>FHD_NOTE_P_71</f>
        <v/>
      </c>
      <c r="Q236" s="547"/>
      <c r="R236" s="1640"/>
      <c r="S236" s="1640"/>
      <c r="X236" s="1640"/>
      <c r="AA236" s="548"/>
      <c r="AG236" s="1636"/>
      <c r="AH236" s="1636"/>
      <c r="AI236" s="1636"/>
      <c r="AJ236" s="1636"/>
      <c r="AK236" s="1636"/>
      <c r="AL236" s="1164">
        <v>0</v>
      </c>
    </row>
    <row customHeight="1" ht="19.95">
      <c r="D237" s="1642"/>
      <c r="E237" s="550" t="str">
        <f>FHD_NUM_P_72</f>
        <v>13</v>
      </c>
      <c r="F237" s="1884" t="str">
        <f>FHD_P_72</f>
        <v>Среднесписочная численность основного производственного персонала</v>
      </c>
      <c r="G237" s="1880" t="s">
        <v>730</v>
      </c>
      <c r="H237" s="581"/>
      <c r="I237" s="581">
        <f>736.9+522</f>
        <v>1258.9</v>
      </c>
      <c r="J237" s="581">
        <f>6.6+2</f>
        <v>8.6</v>
      </c>
      <c r="K237" s="581">
        <f>3+2</f>
        <v>5</v>
      </c>
      <c r="L237" s="581">
        <v>0</v>
      </c>
      <c r="M237" s="581">
        <v>0</v>
      </c>
      <c r="N237" s="581">
        <v>0</v>
      </c>
      <c r="O237" s="581">
        <v>0</v>
      </c>
      <c r="P237" s="293" t="str">
        <f>FHD_NOTE_P_72</f>
        <v/>
      </c>
      <c r="Q237" s="547"/>
      <c r="AL237" s="1635">
        <v>19</v>
      </c>
    </row>
    <row customHeight="1" ht="24">
      <c r="A238" s="993" t="s">
        <v>731</v>
      </c>
      <c r="D238" s="1642"/>
      <c r="E238" s="550" t="str">
        <f>FHD_NUM_P_73</f>
        <v>14</v>
      </c>
      <c r="F238" s="1884" t="str">
        <f>FHD_P_73</f>
        <v>Среднесписочная численность административно-управленческого персонала</v>
      </c>
      <c r="G238" s="974" t="s">
        <v>730</v>
      </c>
      <c r="H238" s="972"/>
      <c r="I238" s="972">
        <v>1140.5</v>
      </c>
      <c r="J238" s="972">
        <v>6.5</v>
      </c>
      <c r="K238" s="972">
        <v>4.5</v>
      </c>
      <c r="L238" s="972">
        <v>0</v>
      </c>
      <c r="M238" s="972">
        <v>2</v>
      </c>
      <c r="N238" s="972">
        <v>0.2</v>
      </c>
      <c r="O238" s="972">
        <v>0</v>
      </c>
      <c r="P238" s="293" t="str">
        <f>FHD_NOTE_P_73</f>
        <v/>
      </c>
      <c r="Q238" s="547"/>
      <c r="AL238" s="1635">
        <v>0</v>
      </c>
    </row>
    <row customHeight="1" ht="33.75" hidden="1">
      <c r="A239" s="993" t="s">
        <v>732</v>
      </c>
      <c r="D239" s="1642"/>
      <c r="E239" s="550" t="str">
        <f>FHD_NUM_P_74</f>
        <v/>
      </c>
      <c r="F239" s="1884" t="str">
        <f>FHD_P_74</f>
        <v/>
      </c>
      <c r="G239" s="1880" t="s">
        <v>733</v>
      </c>
      <c r="H239" s="581"/>
      <c r="I239" s="581"/>
      <c r="J239" s="581"/>
      <c r="K239" s="581"/>
      <c r="L239" s="581"/>
      <c r="M239" s="581"/>
      <c r="N239" s="581"/>
      <c r="O239" s="581"/>
      <c r="P239" s="293" t="str">
        <f>FHD_NOTE_P_74</f>
        <v/>
      </c>
      <c r="Q239" s="547"/>
      <c r="AL239" s="1635">
        <v>0</v>
      </c>
    </row>
    <row s="1639" customFormat="1" customHeight="1" ht="18.75" hidden="1">
      <c r="A240" s="2377" t="s">
        <v>734</v>
      </c>
      <c r="B240" s="914"/>
      <c r="C240" s="739"/>
      <c r="D240" s="737"/>
      <c r="E240" s="550" t="str">
        <f>FHD_NUM_P_75</f>
        <v/>
      </c>
      <c r="F240" s="1884" t="str">
        <f>FHD_P_75</f>
        <v/>
      </c>
      <c r="G240" s="1880" t="s">
        <v>576</v>
      </c>
      <c r="H240" s="561"/>
      <c r="I240" s="561"/>
      <c r="J240" s="561"/>
      <c r="K240" s="561"/>
      <c r="L240" s="561"/>
      <c r="M240" s="561"/>
      <c r="N240" s="561"/>
      <c r="O240" s="561"/>
      <c r="P240" s="293" t="str">
        <f>FHD_NOTE_P_75</f>
        <v/>
      </c>
      <c r="Q240" s="738"/>
      <c r="R240" s="739"/>
      <c r="S240" s="739"/>
      <c r="T240" s="914"/>
      <c r="U240" s="914"/>
      <c r="V240" s="914"/>
      <c r="W240" s="914"/>
      <c r="X240" s="739"/>
      <c r="Y240" s="914"/>
      <c r="Z240" s="914"/>
      <c r="AA240" s="740"/>
      <c r="AB240" s="914"/>
      <c r="AC240" s="914"/>
      <c r="AD240" s="914"/>
      <c r="AE240" s="914"/>
      <c r="AF240" s="914"/>
      <c r="AG240" s="741"/>
      <c r="AH240" s="741"/>
      <c r="AI240" s="741"/>
      <c r="AJ240" s="741"/>
      <c r="AK240" s="741"/>
      <c r="AL240" s="743">
        <v>0</v>
      </c>
    </row>
    <row s="1639" customFormat="1" customHeight="1" ht="18.75" hidden="1">
      <c r="A241" s="2377"/>
      <c r="B241" s="914"/>
      <c r="C241" s="739"/>
      <c r="D241" s="737"/>
      <c r="E241" s="550" t="str">
        <f>FHD_NUM_P_76</f>
        <v/>
      </c>
      <c r="F241" s="1884" t="str">
        <f>FHD_P_76</f>
        <v/>
      </c>
      <c r="G241" s="1880" t="s">
        <v>576</v>
      </c>
      <c r="H241" s="561"/>
      <c r="I241" s="561"/>
      <c r="J241" s="561"/>
      <c r="K241" s="561"/>
      <c r="L241" s="561"/>
      <c r="M241" s="561"/>
      <c r="N241" s="561"/>
      <c r="O241" s="561"/>
      <c r="P241" s="293" t="str">
        <f>FHD_NOTE_P_76</f>
        <v/>
      </c>
      <c r="Q241" s="738"/>
      <c r="R241" s="739"/>
      <c r="S241" s="739"/>
      <c r="T241" s="914"/>
      <c r="U241" s="914"/>
      <c r="V241" s="914"/>
      <c r="W241" s="914"/>
      <c r="X241" s="739"/>
      <c r="Y241" s="914"/>
      <c r="Z241" s="914"/>
      <c r="AA241" s="740"/>
      <c r="AB241" s="914"/>
      <c r="AC241" s="914"/>
      <c r="AD241" s="914"/>
      <c r="AE241" s="914"/>
      <c r="AF241" s="914"/>
      <c r="AG241" s="741"/>
      <c r="AH241" s="741"/>
      <c r="AI241" s="741"/>
      <c r="AJ241" s="741"/>
      <c r="AK241" s="741"/>
      <c r="AL241" s="743">
        <v>0</v>
      </c>
    </row>
    <row s="1639" customFormat="1" customHeight="1" ht="18.75" hidden="1">
      <c r="A242" s="2377"/>
      <c r="B242" s="914"/>
      <c r="C242" s="739"/>
      <c r="D242" s="737"/>
      <c r="E242" s="550" t="str">
        <f>FHD_NUM_P_77</f>
        <v/>
      </c>
      <c r="F242" s="1884" t="str">
        <f>FHD_P_77</f>
        <v/>
      </c>
      <c r="G242" s="1880" t="s">
        <v>576</v>
      </c>
      <c r="H242" s="561"/>
      <c r="I242" s="561"/>
      <c r="J242" s="561"/>
      <c r="K242" s="561"/>
      <c r="L242" s="561"/>
      <c r="M242" s="561"/>
      <c r="N242" s="561"/>
      <c r="O242" s="561"/>
      <c r="P242" s="293" t="str">
        <f>FHD_NOTE_P_77</f>
        <v/>
      </c>
      <c r="Q242" s="738"/>
      <c r="R242" s="739"/>
      <c r="S242" s="739"/>
      <c r="T242" s="914"/>
      <c r="U242" s="914"/>
      <c r="V242" s="914"/>
      <c r="W242" s="914"/>
      <c r="X242" s="739"/>
      <c r="Y242" s="914"/>
      <c r="Z242" s="914"/>
      <c r="AA242" s="740"/>
      <c r="AB242" s="914"/>
      <c r="AC242" s="914"/>
      <c r="AD242" s="914"/>
      <c r="AE242" s="914"/>
      <c r="AF242" s="914"/>
      <c r="AG242" s="741"/>
      <c r="AH242" s="741"/>
      <c r="AI242" s="741"/>
      <c r="AJ242" s="741"/>
      <c r="AK242" s="741"/>
      <c r="AL242" s="743">
        <v>0</v>
      </c>
    </row>
    <row s="1646" customFormat="1" customHeight="1" ht="0.75" hidden="1">
      <c r="A243" s="2377"/>
      <c r="D243" s="552"/>
      <c r="E243" s="1017" t="str">
        <f>E242&amp;".0"</f>
        <v>.0</v>
      </c>
      <c r="F243" s="1001"/>
      <c r="G243" s="1655"/>
      <c r="H243" s="996"/>
      <c r="I243" s="996"/>
      <c r="J243" s="996"/>
      <c r="K243" s="996"/>
      <c r="L243" s="996"/>
      <c r="M243" s="996"/>
      <c r="N243" s="996"/>
      <c r="O243" s="996"/>
      <c r="P243" s="1000"/>
      <c r="AL243" s="1640">
        <v>0</v>
      </c>
    </row>
    <row s="1639" customFormat="1" customHeight="1" ht="15" hidden="1">
      <c r="A244" s="2377"/>
      <c r="B244" s="914"/>
      <c r="C244" s="739"/>
      <c r="D244" s="750"/>
      <c r="E244" s="977"/>
      <c r="F244" s="978" t="s">
        <v>735</v>
      </c>
      <c r="G244" s="751"/>
      <c r="H244" s="752"/>
      <c r="I244" s="752"/>
      <c r="J244" s="2664"/>
      <c r="K244" s="2665"/>
      <c r="L244" s="2666"/>
      <c r="M244" s="2667"/>
      <c r="N244" s="2668"/>
      <c r="O244" s="2669"/>
      <c r="P244" s="1007" t="s">
        <v>736</v>
      </c>
      <c r="Q244" s="738"/>
      <c r="R244" s="739"/>
      <c r="S244" s="739"/>
      <c r="T244" s="914"/>
      <c r="U244" s="914"/>
      <c r="V244" s="914"/>
      <c r="W244" s="914"/>
      <c r="X244" s="739"/>
      <c r="Y244" s="914"/>
      <c r="Z244" s="914"/>
      <c r="AA244" s="740"/>
      <c r="AB244" s="914"/>
      <c r="AC244" s="914"/>
      <c r="AD244" s="914"/>
      <c r="AE244" s="914"/>
      <c r="AF244" s="914"/>
      <c r="AG244" s="741"/>
      <c r="AH244" s="741"/>
      <c r="AI244" s="741"/>
      <c r="AJ244" s="741"/>
      <c r="AK244" s="741"/>
      <c r="AL244" s="743">
        <v>0</v>
      </c>
    </row>
    <row customHeight="1" ht="64.5">
      <c r="A245" s="2375" t="s">
        <v>737</v>
      </c>
      <c r="D245" s="1642"/>
      <c r="E245" s="550" t="str">
        <f>FHD_NUM_P_78</f>
        <v>15</v>
      </c>
      <c r="F245" s="188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245" s="1881" t="s">
        <v>578</v>
      </c>
      <c r="H245" s="581"/>
      <c r="I245" s="581">
        <v>159.28</v>
      </c>
      <c r="J245" s="581">
        <v>156.03</v>
      </c>
      <c r="K245" s="581">
        <v>154.82</v>
      </c>
      <c r="L245" s="581">
        <v>0</v>
      </c>
      <c r="M245" s="581">
        <v>0</v>
      </c>
      <c r="N245" s="581">
        <v>0</v>
      </c>
      <c r="O245" s="581">
        <v>0</v>
      </c>
      <c r="P245" s="293" t="str">
        <f>FHD_NOTE_P_78</f>
        <v/>
      </c>
      <c r="Q245" s="547"/>
      <c r="AL245" s="1635">
        <v>0</v>
      </c>
    </row>
    <row s="1646" customFormat="1" customHeight="1" ht="6">
      <c r="A246" s="2375"/>
      <c r="D246" s="552"/>
      <c r="E246" s="1017" t="str">
        <f>E245&amp;".0"</f>
        <v>15.0</v>
      </c>
      <c r="F246" s="1001"/>
      <c r="G246" s="1655"/>
      <c r="H246" s="996"/>
      <c r="I246" s="996"/>
      <c r="J246" s="996"/>
      <c r="K246" s="996"/>
      <c r="L246" s="996"/>
      <c r="M246" s="996"/>
      <c r="N246" s="996"/>
      <c r="O246" s="996"/>
      <c r="P246" s="1000"/>
      <c r="AL246" s="1640">
        <v>0</v>
      </c>
    </row>
    <row s="1854" customFormat="1" customHeight="1" ht="22.5">
      <c r="A247" s="991"/>
      <c r="B247" s="1370"/>
      <c r="C247" s="1646"/>
      <c r="D247" s="687" t="s">
        <v>104</v>
      </c>
      <c r="E247" s="550" t="str">
        <f>E245&amp;".1"</f>
        <v>15.1</v>
      </c>
      <c r="F247" s="544" t="s">
        <v>738</v>
      </c>
      <c r="G247" s="2370" t="s">
        <v>578</v>
      </c>
      <c r="H247" s="549"/>
      <c r="I247" s="549">
        <v>159.08</v>
      </c>
      <c r="J247" s="549"/>
      <c r="K247" s="549"/>
      <c r="L247" s="549"/>
      <c r="M247" s="549"/>
      <c r="N247" s="549"/>
      <c r="O247" s="549"/>
      <c r="P247" s="1529" t="s">
        <v>579</v>
      </c>
      <c r="Q247" s="738"/>
      <c r="R247" s="1646"/>
      <c r="S247" s="1646"/>
      <c r="T247" s="1370"/>
      <c r="U247" s="1370"/>
      <c r="V247" s="1370"/>
      <c r="W247" s="1370"/>
      <c r="X247" s="1646"/>
      <c r="Y247" s="1370"/>
      <c r="Z247" s="1370"/>
      <c r="AA247" s="740"/>
      <c r="AB247" s="1370"/>
      <c r="AC247" s="1370"/>
      <c r="AD247" s="1370"/>
      <c r="AE247" s="1370"/>
      <c r="AF247" s="1370"/>
      <c r="AG247" s="1636"/>
      <c r="AH247" s="1636"/>
      <c r="AI247" s="1636"/>
      <c r="AJ247" s="1636"/>
      <c r="AK247" s="1636"/>
      <c r="AL247" s="1639">
        <v>0</v>
      </c>
    </row>
    <row s="1854" customFormat="1" customHeight="1" ht="22.5">
      <c r="A248" s="991"/>
      <c r="B248" s="1370"/>
      <c r="C248" s="1646"/>
      <c r="D248" s="687" t="s">
        <v>104</v>
      </c>
      <c r="E248" s="550" t="str">
        <f>E245&amp;".2"</f>
        <v>15.2</v>
      </c>
      <c r="F248" s="544" t="s">
        <v>739</v>
      </c>
      <c r="G248" s="2370" t="s">
        <v>578</v>
      </c>
      <c r="H248" s="549"/>
      <c r="I248" s="549">
        <v>159.92</v>
      </c>
      <c r="J248" s="549"/>
      <c r="K248" s="549"/>
      <c r="L248" s="549"/>
      <c r="M248" s="549"/>
      <c r="N248" s="549"/>
      <c r="O248" s="549"/>
      <c r="P248" s="1529" t="s">
        <v>579</v>
      </c>
      <c r="Q248" s="738"/>
      <c r="R248" s="1646"/>
      <c r="S248" s="1646"/>
      <c r="T248" s="1370"/>
      <c r="U248" s="1370"/>
      <c r="V248" s="1370"/>
      <c r="W248" s="1370"/>
      <c r="X248" s="1646"/>
      <c r="Y248" s="1370"/>
      <c r="Z248" s="1370"/>
      <c r="AA248" s="740"/>
      <c r="AB248" s="1370"/>
      <c r="AC248" s="1370"/>
      <c r="AD248" s="1370"/>
      <c r="AE248" s="1370"/>
      <c r="AF248" s="1370"/>
      <c r="AG248" s="1636"/>
      <c r="AH248" s="1636"/>
      <c r="AI248" s="1636"/>
      <c r="AJ248" s="1636"/>
      <c r="AK248" s="1636"/>
      <c r="AL248" s="1639">
        <v>0</v>
      </c>
    </row>
    <row s="1854" customFormat="1" customHeight="1" ht="22.5">
      <c r="A249" s="991"/>
      <c r="B249" s="1370"/>
      <c r="C249" s="1646"/>
      <c r="D249" s="687" t="s">
        <v>104</v>
      </c>
      <c r="E249" s="550" t="str">
        <f>E245&amp;".3"</f>
        <v>15.3</v>
      </c>
      <c r="F249" s="544" t="s">
        <v>740</v>
      </c>
      <c r="G249" s="2370" t="s">
        <v>578</v>
      </c>
      <c r="H249" s="549"/>
      <c r="I249" s="549">
        <v>159.51</v>
      </c>
      <c r="J249" s="549"/>
      <c r="K249" s="549"/>
      <c r="L249" s="549"/>
      <c r="M249" s="549"/>
      <c r="N249" s="549"/>
      <c r="O249" s="549"/>
      <c r="P249" s="1529" t="s">
        <v>579</v>
      </c>
      <c r="Q249" s="738"/>
      <c r="R249" s="1646"/>
      <c r="S249" s="1646"/>
      <c r="T249" s="1370"/>
      <c r="U249" s="1370"/>
      <c r="V249" s="1370"/>
      <c r="W249" s="1370"/>
      <c r="X249" s="1646"/>
      <c r="Y249" s="1370"/>
      <c r="Z249" s="1370"/>
      <c r="AA249" s="740"/>
      <c r="AB249" s="1370"/>
      <c r="AC249" s="1370"/>
      <c r="AD249" s="1370"/>
      <c r="AE249" s="1370"/>
      <c r="AF249" s="1370"/>
      <c r="AG249" s="1636"/>
      <c r="AH249" s="1636"/>
      <c r="AI249" s="1636"/>
      <c r="AJ249" s="1636"/>
      <c r="AK249" s="1636"/>
      <c r="AL249" s="1639">
        <v>0</v>
      </c>
    </row>
    <row s="1854" customFormat="1" customHeight="1" ht="22.5">
      <c r="A250" s="991"/>
      <c r="B250" s="1370"/>
      <c r="C250" s="1646"/>
      <c r="D250" s="687" t="s">
        <v>104</v>
      </c>
      <c r="E250" s="550" t="str">
        <f>E245&amp;".4"</f>
        <v>15.4</v>
      </c>
      <c r="F250" s="544" t="s">
        <v>741</v>
      </c>
      <c r="G250" s="2370" t="s">
        <v>578</v>
      </c>
      <c r="H250" s="549"/>
      <c r="I250" s="549">
        <v>159.16</v>
      </c>
      <c r="J250" s="549"/>
      <c r="K250" s="549"/>
      <c r="L250" s="549"/>
      <c r="M250" s="549"/>
      <c r="N250" s="549"/>
      <c r="O250" s="549"/>
      <c r="P250" s="1529" t="s">
        <v>579</v>
      </c>
      <c r="Q250" s="738"/>
      <c r="R250" s="1646"/>
      <c r="S250" s="1646"/>
      <c r="T250" s="1370"/>
      <c r="U250" s="1370"/>
      <c r="V250" s="1370"/>
      <c r="W250" s="1370"/>
      <c r="X250" s="1646"/>
      <c r="Y250" s="1370"/>
      <c r="Z250" s="1370"/>
      <c r="AA250" s="740"/>
      <c r="AB250" s="1370"/>
      <c r="AC250" s="1370"/>
      <c r="AD250" s="1370"/>
      <c r="AE250" s="1370"/>
      <c r="AF250" s="1370"/>
      <c r="AG250" s="1636"/>
      <c r="AH250" s="1636"/>
      <c r="AI250" s="1636"/>
      <c r="AJ250" s="1636"/>
      <c r="AK250" s="1636"/>
      <c r="AL250" s="1639">
        <v>0</v>
      </c>
    </row>
    <row s="1854" customFormat="1" customHeight="1" ht="22.5">
      <c r="A251" s="991"/>
      <c r="B251" s="1370"/>
      <c r="C251" s="1646"/>
      <c r="D251" s="687" t="s">
        <v>104</v>
      </c>
      <c r="E251" s="550" t="str">
        <f>E245&amp;".5"</f>
        <v>15.5</v>
      </c>
      <c r="F251" s="544" t="s">
        <v>742</v>
      </c>
      <c r="G251" s="2370" t="s">
        <v>578</v>
      </c>
      <c r="H251" s="549"/>
      <c r="I251" s="549">
        <v>165.05</v>
      </c>
      <c r="J251" s="549"/>
      <c r="K251" s="549"/>
      <c r="L251" s="549"/>
      <c r="M251" s="549"/>
      <c r="N251" s="549"/>
      <c r="O251" s="549"/>
      <c r="P251" s="1529" t="s">
        <v>579</v>
      </c>
      <c r="Q251" s="738"/>
      <c r="R251" s="1646"/>
      <c r="S251" s="1646"/>
      <c r="T251" s="1370"/>
      <c r="U251" s="1370"/>
      <c r="V251" s="1370"/>
      <c r="W251" s="1370"/>
      <c r="X251" s="1646"/>
      <c r="Y251" s="1370"/>
      <c r="Z251" s="1370"/>
      <c r="AA251" s="740"/>
      <c r="AB251" s="1370"/>
      <c r="AC251" s="1370"/>
      <c r="AD251" s="1370"/>
      <c r="AE251" s="1370"/>
      <c r="AF251" s="1370"/>
      <c r="AG251" s="1636"/>
      <c r="AH251" s="1636"/>
      <c r="AI251" s="1636"/>
      <c r="AJ251" s="1636"/>
      <c r="AK251" s="1636"/>
      <c r="AL251" s="1639">
        <v>0</v>
      </c>
    </row>
    <row s="1854" customFormat="1" customHeight="1" ht="22.5">
      <c r="A252" s="991"/>
      <c r="B252" s="1370"/>
      <c r="C252" s="1646"/>
      <c r="D252" s="687" t="s">
        <v>104</v>
      </c>
      <c r="E252" s="550" t="str">
        <f>E245&amp;".6"</f>
        <v>15.6</v>
      </c>
      <c r="F252" s="544" t="s">
        <v>743</v>
      </c>
      <c r="G252" s="2370" t="s">
        <v>578</v>
      </c>
      <c r="H252" s="549"/>
      <c r="I252" s="549">
        <v>162.94</v>
      </c>
      <c r="J252" s="549"/>
      <c r="K252" s="549"/>
      <c r="L252" s="549"/>
      <c r="M252" s="549"/>
      <c r="N252" s="549"/>
      <c r="O252" s="549"/>
      <c r="P252" s="1529" t="s">
        <v>579</v>
      </c>
      <c r="Q252" s="738"/>
      <c r="R252" s="1646"/>
      <c r="S252" s="1646"/>
      <c r="T252" s="1370"/>
      <c r="U252" s="1370"/>
      <c r="V252" s="1370"/>
      <c r="W252" s="1370"/>
      <c r="X252" s="1646"/>
      <c r="Y252" s="1370"/>
      <c r="Z252" s="1370"/>
      <c r="AA252" s="740"/>
      <c r="AB252" s="1370"/>
      <c r="AC252" s="1370"/>
      <c r="AD252" s="1370"/>
      <c r="AE252" s="1370"/>
      <c r="AF252" s="1370"/>
      <c r="AG252" s="1636"/>
      <c r="AH252" s="1636"/>
      <c r="AI252" s="1636"/>
      <c r="AJ252" s="1636"/>
      <c r="AK252" s="1636"/>
      <c r="AL252" s="1639">
        <v>0</v>
      </c>
    </row>
    <row s="1854" customFormat="1" customHeight="1" ht="22.5">
      <c r="A253" s="991"/>
      <c r="B253" s="1370"/>
      <c r="C253" s="1646"/>
      <c r="D253" s="687" t="s">
        <v>104</v>
      </c>
      <c r="E253" s="550" t="str">
        <f>E245&amp;".7"</f>
        <v>15.7</v>
      </c>
      <c r="F253" s="544" t="s">
        <v>744</v>
      </c>
      <c r="G253" s="2370" t="s">
        <v>578</v>
      </c>
      <c r="H253" s="549"/>
      <c r="I253" s="549">
        <v>209.4</v>
      </c>
      <c r="J253" s="549"/>
      <c r="K253" s="549"/>
      <c r="L253" s="549"/>
      <c r="M253" s="549"/>
      <c r="N253" s="549"/>
      <c r="O253" s="549"/>
      <c r="P253" s="1529" t="s">
        <v>579</v>
      </c>
      <c r="Q253" s="738"/>
      <c r="R253" s="1646"/>
      <c r="S253" s="1646"/>
      <c r="T253" s="1370"/>
      <c r="U253" s="1370"/>
      <c r="V253" s="1370"/>
      <c r="W253" s="1370"/>
      <c r="X253" s="1646"/>
      <c r="Y253" s="1370"/>
      <c r="Z253" s="1370"/>
      <c r="AA253" s="740"/>
      <c r="AB253" s="1370"/>
      <c r="AC253" s="1370"/>
      <c r="AD253" s="1370"/>
      <c r="AE253" s="1370"/>
      <c r="AF253" s="1370"/>
      <c r="AG253" s="1636"/>
      <c r="AH253" s="1636"/>
      <c r="AI253" s="1636"/>
      <c r="AJ253" s="1636"/>
      <c r="AK253" s="1636"/>
      <c r="AL253" s="1639">
        <v>0</v>
      </c>
    </row>
    <row s="1854" customFormat="1" customHeight="1" ht="22.5">
      <c r="A254" s="991"/>
      <c r="B254" s="1370"/>
      <c r="C254" s="1646"/>
      <c r="D254" s="687" t="s">
        <v>104</v>
      </c>
      <c r="E254" s="550" t="str">
        <f>E245&amp;".8"</f>
        <v>15.8</v>
      </c>
      <c r="F254" s="544" t="s">
        <v>745</v>
      </c>
      <c r="G254" s="2370" t="s">
        <v>578</v>
      </c>
      <c r="H254" s="549"/>
      <c r="I254" s="549">
        <v>157.19</v>
      </c>
      <c r="J254" s="549"/>
      <c r="K254" s="549"/>
      <c r="L254" s="549"/>
      <c r="M254" s="549"/>
      <c r="N254" s="549"/>
      <c r="O254" s="549"/>
      <c r="P254" s="1529" t="s">
        <v>579</v>
      </c>
      <c r="Q254" s="738"/>
      <c r="R254" s="1646"/>
      <c r="S254" s="1646"/>
      <c r="T254" s="1370"/>
      <c r="U254" s="1370"/>
      <c r="V254" s="1370"/>
      <c r="W254" s="1370"/>
      <c r="X254" s="1646"/>
      <c r="Y254" s="1370"/>
      <c r="Z254" s="1370"/>
      <c r="AA254" s="740"/>
      <c r="AB254" s="1370"/>
      <c r="AC254" s="1370"/>
      <c r="AD254" s="1370"/>
      <c r="AE254" s="1370"/>
      <c r="AF254" s="1370"/>
      <c r="AG254" s="1636"/>
      <c r="AH254" s="1636"/>
      <c r="AI254" s="1636"/>
      <c r="AJ254" s="1636"/>
      <c r="AK254" s="1636"/>
      <c r="AL254" s="1639">
        <v>0</v>
      </c>
    </row>
    <row s="1854" customFormat="1" customHeight="1" ht="22.5">
      <c r="A255" s="991"/>
      <c r="B255" s="1370"/>
      <c r="C255" s="1646"/>
      <c r="D255" s="687" t="s">
        <v>104</v>
      </c>
      <c r="E255" s="550" t="str">
        <f>E245&amp;".9"</f>
        <v>15.9</v>
      </c>
      <c r="F255" s="544" t="s">
        <v>746</v>
      </c>
      <c r="G255" s="2370" t="s">
        <v>578</v>
      </c>
      <c r="H255" s="549"/>
      <c r="I255" s="549">
        <v>159.16</v>
      </c>
      <c r="J255" s="549"/>
      <c r="K255" s="549"/>
      <c r="L255" s="549"/>
      <c r="M255" s="549"/>
      <c r="N255" s="549"/>
      <c r="O255" s="549"/>
      <c r="P255" s="1529" t="s">
        <v>579</v>
      </c>
      <c r="Q255" s="738"/>
      <c r="R255" s="1646"/>
      <c r="S255" s="1646"/>
      <c r="T255" s="1370"/>
      <c r="U255" s="1370"/>
      <c r="V255" s="1370"/>
      <c r="W255" s="1370"/>
      <c r="X255" s="1646"/>
      <c r="Y255" s="1370"/>
      <c r="Z255" s="1370"/>
      <c r="AA255" s="740"/>
      <c r="AB255" s="1370"/>
      <c r="AC255" s="1370"/>
      <c r="AD255" s="1370"/>
      <c r="AE255" s="1370"/>
      <c r="AF255" s="1370"/>
      <c r="AG255" s="1636"/>
      <c r="AH255" s="1636"/>
      <c r="AI255" s="1636"/>
      <c r="AJ255" s="1636"/>
      <c r="AK255" s="1636"/>
      <c r="AL255" s="1639">
        <v>0</v>
      </c>
    </row>
    <row s="1854" customFormat="1" customHeight="1" ht="22.5">
      <c r="A256" s="991"/>
      <c r="B256" s="1370"/>
      <c r="C256" s="1646"/>
      <c r="D256" s="687" t="s">
        <v>104</v>
      </c>
      <c r="E256" s="550" t="str">
        <f>E245&amp;".10"</f>
        <v>15.10</v>
      </c>
      <c r="F256" s="544" t="s">
        <v>747</v>
      </c>
      <c r="G256" s="2370" t="s">
        <v>578</v>
      </c>
      <c r="H256" s="549"/>
      <c r="I256" s="549">
        <v>160.46</v>
      </c>
      <c r="J256" s="549"/>
      <c r="K256" s="549"/>
      <c r="L256" s="549"/>
      <c r="M256" s="549"/>
      <c r="N256" s="549"/>
      <c r="O256" s="549"/>
      <c r="P256" s="1529" t="s">
        <v>579</v>
      </c>
      <c r="Q256" s="738"/>
      <c r="R256" s="1646"/>
      <c r="S256" s="1646"/>
      <c r="T256" s="1370"/>
      <c r="U256" s="1370"/>
      <c r="V256" s="1370"/>
      <c r="W256" s="1370"/>
      <c r="X256" s="1646"/>
      <c r="Y256" s="1370"/>
      <c r="Z256" s="1370"/>
      <c r="AA256" s="740"/>
      <c r="AB256" s="1370"/>
      <c r="AC256" s="1370"/>
      <c r="AD256" s="1370"/>
      <c r="AE256" s="1370"/>
      <c r="AF256" s="1370"/>
      <c r="AG256" s="1636"/>
      <c r="AH256" s="1636"/>
      <c r="AI256" s="1636"/>
      <c r="AJ256" s="1636"/>
      <c r="AK256" s="1636"/>
      <c r="AL256" s="1639">
        <v>0</v>
      </c>
    </row>
    <row s="1854" customFormat="1" customHeight="1" ht="22.5">
      <c r="A257" s="991"/>
      <c r="B257" s="1370"/>
      <c r="C257" s="1646"/>
      <c r="D257" s="687" t="s">
        <v>104</v>
      </c>
      <c r="E257" s="550" t="str">
        <f>E245&amp;".11"</f>
        <v>15.11</v>
      </c>
      <c r="F257" s="544" t="s">
        <v>748</v>
      </c>
      <c r="G257" s="2370" t="s">
        <v>578</v>
      </c>
      <c r="H257" s="549"/>
      <c r="I257" s="549">
        <v>158.98</v>
      </c>
      <c r="J257" s="549"/>
      <c r="K257" s="549"/>
      <c r="L257" s="549"/>
      <c r="M257" s="549"/>
      <c r="N257" s="549"/>
      <c r="O257" s="549"/>
      <c r="P257" s="1529" t="s">
        <v>579</v>
      </c>
      <c r="Q257" s="738"/>
      <c r="R257" s="1646"/>
      <c r="S257" s="1646"/>
      <c r="T257" s="1370"/>
      <c r="U257" s="1370"/>
      <c r="V257" s="1370"/>
      <c r="W257" s="1370"/>
      <c r="X257" s="1646"/>
      <c r="Y257" s="1370"/>
      <c r="Z257" s="1370"/>
      <c r="AA257" s="740"/>
      <c r="AB257" s="1370"/>
      <c r="AC257" s="1370"/>
      <c r="AD257" s="1370"/>
      <c r="AE257" s="1370"/>
      <c r="AF257" s="1370"/>
      <c r="AG257" s="1636"/>
      <c r="AH257" s="1636"/>
      <c r="AI257" s="1636"/>
      <c r="AJ257" s="1636"/>
      <c r="AK257" s="1636"/>
      <c r="AL257" s="1639">
        <v>0</v>
      </c>
    </row>
    <row s="1854" customFormat="1" customHeight="1" ht="22.5">
      <c r="A258" s="991"/>
      <c r="B258" s="1370"/>
      <c r="C258" s="1646"/>
      <c r="D258" s="687" t="s">
        <v>104</v>
      </c>
      <c r="E258" s="550" t="str">
        <f>E245&amp;".12"</f>
        <v>15.12</v>
      </c>
      <c r="F258" s="544" t="s">
        <v>749</v>
      </c>
      <c r="G258" s="2370" t="s">
        <v>578</v>
      </c>
      <c r="H258" s="549"/>
      <c r="I258" s="549">
        <v>159.27</v>
      </c>
      <c r="J258" s="549"/>
      <c r="K258" s="549"/>
      <c r="L258" s="549"/>
      <c r="M258" s="549"/>
      <c r="N258" s="549"/>
      <c r="O258" s="549"/>
      <c r="P258" s="1529" t="s">
        <v>579</v>
      </c>
      <c r="Q258" s="738"/>
      <c r="R258" s="1646"/>
      <c r="S258" s="1646"/>
      <c r="T258" s="1370"/>
      <c r="U258" s="1370"/>
      <c r="V258" s="1370"/>
      <c r="W258" s="1370"/>
      <c r="X258" s="1646"/>
      <c r="Y258" s="1370"/>
      <c r="Z258" s="1370"/>
      <c r="AA258" s="740"/>
      <c r="AB258" s="1370"/>
      <c r="AC258" s="1370"/>
      <c r="AD258" s="1370"/>
      <c r="AE258" s="1370"/>
      <c r="AF258" s="1370"/>
      <c r="AG258" s="1636"/>
      <c r="AH258" s="1636"/>
      <c r="AI258" s="1636"/>
      <c r="AJ258" s="1636"/>
      <c r="AK258" s="1636"/>
      <c r="AL258" s="1639">
        <v>0</v>
      </c>
    </row>
    <row s="1854" customFormat="1" customHeight="1" ht="22.5">
      <c r="A259" s="991"/>
      <c r="B259" s="1370"/>
      <c r="C259" s="1646"/>
      <c r="D259" s="687" t="s">
        <v>104</v>
      </c>
      <c r="E259" s="550" t="str">
        <f>E245&amp;".13"</f>
        <v>15.13</v>
      </c>
      <c r="F259" s="544" t="s">
        <v>750</v>
      </c>
      <c r="G259" s="2370" t="s">
        <v>578</v>
      </c>
      <c r="H259" s="549"/>
      <c r="I259" s="549">
        <v>161.31</v>
      </c>
      <c r="J259" s="549"/>
      <c r="K259" s="549"/>
      <c r="L259" s="549"/>
      <c r="M259" s="549"/>
      <c r="N259" s="549"/>
      <c r="O259" s="549"/>
      <c r="P259" s="1529" t="s">
        <v>579</v>
      </c>
      <c r="Q259" s="738"/>
      <c r="R259" s="1646"/>
      <c r="S259" s="1646"/>
      <c r="T259" s="1370"/>
      <c r="U259" s="1370"/>
      <c r="V259" s="1370"/>
      <c r="W259" s="1370"/>
      <c r="X259" s="1646"/>
      <c r="Y259" s="1370"/>
      <c r="Z259" s="1370"/>
      <c r="AA259" s="740"/>
      <c r="AB259" s="1370"/>
      <c r="AC259" s="1370"/>
      <c r="AD259" s="1370"/>
      <c r="AE259" s="1370"/>
      <c r="AF259" s="1370"/>
      <c r="AG259" s="1636"/>
      <c r="AH259" s="1636"/>
      <c r="AI259" s="1636"/>
      <c r="AJ259" s="1636"/>
      <c r="AK259" s="1636"/>
      <c r="AL259" s="1639">
        <v>0</v>
      </c>
    </row>
    <row s="1854" customFormat="1" customHeight="1" ht="22.5">
      <c r="A260" s="991"/>
      <c r="B260" s="1370"/>
      <c r="C260" s="1646"/>
      <c r="D260" s="687" t="s">
        <v>104</v>
      </c>
      <c r="E260" s="550" t="str">
        <f>E245&amp;".14"</f>
        <v>15.14</v>
      </c>
      <c r="F260" s="544" t="s">
        <v>751</v>
      </c>
      <c r="G260" s="2370" t="s">
        <v>578</v>
      </c>
      <c r="H260" s="549"/>
      <c r="I260" s="549">
        <v>158.46</v>
      </c>
      <c r="J260" s="549"/>
      <c r="K260" s="549"/>
      <c r="L260" s="549"/>
      <c r="M260" s="549"/>
      <c r="N260" s="549"/>
      <c r="O260" s="549"/>
      <c r="P260" s="1529" t="s">
        <v>579</v>
      </c>
      <c r="Q260" s="738"/>
      <c r="R260" s="1646"/>
      <c r="S260" s="1646"/>
      <c r="T260" s="1370"/>
      <c r="U260" s="1370"/>
      <c r="V260" s="1370"/>
      <c r="W260" s="1370"/>
      <c r="X260" s="1646"/>
      <c r="Y260" s="1370"/>
      <c r="Z260" s="1370"/>
      <c r="AA260" s="740"/>
      <c r="AB260" s="1370"/>
      <c r="AC260" s="1370"/>
      <c r="AD260" s="1370"/>
      <c r="AE260" s="1370"/>
      <c r="AF260" s="1370"/>
      <c r="AG260" s="1636"/>
      <c r="AH260" s="1636"/>
      <c r="AI260" s="1636"/>
      <c r="AJ260" s="1636"/>
      <c r="AK260" s="1636"/>
      <c r="AL260" s="1639">
        <v>0</v>
      </c>
    </row>
    <row s="1854" customFormat="1" customHeight="1" ht="22.5">
      <c r="A261" s="991"/>
      <c r="B261" s="1370"/>
      <c r="C261" s="1646"/>
      <c r="D261" s="687" t="s">
        <v>104</v>
      </c>
      <c r="E261" s="550" t="str">
        <f>E245&amp;".15"</f>
        <v>15.15</v>
      </c>
      <c r="F261" s="544" t="s">
        <v>752</v>
      </c>
      <c r="G261" s="2370" t="s">
        <v>578</v>
      </c>
      <c r="H261" s="549"/>
      <c r="I261" s="549">
        <v>174.92</v>
      </c>
      <c r="J261" s="549"/>
      <c r="K261" s="549"/>
      <c r="L261" s="549"/>
      <c r="M261" s="549"/>
      <c r="N261" s="549"/>
      <c r="O261" s="549"/>
      <c r="P261" s="1529" t="s">
        <v>579</v>
      </c>
      <c r="Q261" s="738"/>
      <c r="R261" s="1646"/>
      <c r="S261" s="1646"/>
      <c r="T261" s="1370"/>
      <c r="U261" s="1370"/>
      <c r="V261" s="1370"/>
      <c r="W261" s="1370"/>
      <c r="X261" s="1646"/>
      <c r="Y261" s="1370"/>
      <c r="Z261" s="1370"/>
      <c r="AA261" s="740"/>
      <c r="AB261" s="1370"/>
      <c r="AC261" s="1370"/>
      <c r="AD261" s="1370"/>
      <c r="AE261" s="1370"/>
      <c r="AF261" s="1370"/>
      <c r="AG261" s="1636"/>
      <c r="AH261" s="1636"/>
      <c r="AI261" s="1636"/>
      <c r="AJ261" s="1636"/>
      <c r="AK261" s="1636"/>
      <c r="AL261" s="1639">
        <v>0</v>
      </c>
    </row>
    <row s="1854" customFormat="1" customHeight="1" ht="22.5">
      <c r="A262" s="991"/>
      <c r="B262" s="1370"/>
      <c r="C262" s="1646"/>
      <c r="D262" s="687" t="s">
        <v>104</v>
      </c>
      <c r="E262" s="550" t="str">
        <f>E245&amp;".16"</f>
        <v>15.16</v>
      </c>
      <c r="F262" s="544" t="s">
        <v>753</v>
      </c>
      <c r="G262" s="2370" t="s">
        <v>578</v>
      </c>
      <c r="H262" s="549"/>
      <c r="I262" s="549">
        <v>160.79</v>
      </c>
      <c r="J262" s="549"/>
      <c r="K262" s="549"/>
      <c r="L262" s="549"/>
      <c r="M262" s="549"/>
      <c r="N262" s="549"/>
      <c r="O262" s="549"/>
      <c r="P262" s="1529" t="s">
        <v>579</v>
      </c>
      <c r="Q262" s="738"/>
      <c r="R262" s="1646"/>
      <c r="S262" s="1646"/>
      <c r="T262" s="1370"/>
      <c r="U262" s="1370"/>
      <c r="V262" s="1370"/>
      <c r="W262" s="1370"/>
      <c r="X262" s="1646"/>
      <c r="Y262" s="1370"/>
      <c r="Z262" s="1370"/>
      <c r="AA262" s="740"/>
      <c r="AB262" s="1370"/>
      <c r="AC262" s="1370"/>
      <c r="AD262" s="1370"/>
      <c r="AE262" s="1370"/>
      <c r="AF262" s="1370"/>
      <c r="AG262" s="1636"/>
      <c r="AH262" s="1636"/>
      <c r="AI262" s="1636"/>
      <c r="AJ262" s="1636"/>
      <c r="AK262" s="1636"/>
      <c r="AL262" s="1639">
        <v>0</v>
      </c>
    </row>
    <row s="1854" customFormat="1" customHeight="1" ht="22.5">
      <c r="A263" s="991"/>
      <c r="B263" s="1370"/>
      <c r="C263" s="1646"/>
      <c r="D263" s="687" t="s">
        <v>104</v>
      </c>
      <c r="E263" s="550" t="str">
        <f>E245&amp;".17"</f>
        <v>15.17</v>
      </c>
      <c r="F263" s="544" t="s">
        <v>754</v>
      </c>
      <c r="G263" s="2370" t="s">
        <v>578</v>
      </c>
      <c r="H263" s="549"/>
      <c r="I263" s="549">
        <v>161.25</v>
      </c>
      <c r="J263" s="549"/>
      <c r="K263" s="549"/>
      <c r="L263" s="549"/>
      <c r="M263" s="549"/>
      <c r="N263" s="549"/>
      <c r="O263" s="549"/>
      <c r="P263" s="1529" t="s">
        <v>579</v>
      </c>
      <c r="Q263" s="738"/>
      <c r="R263" s="1646"/>
      <c r="S263" s="1646"/>
      <c r="T263" s="1370"/>
      <c r="U263" s="1370"/>
      <c r="V263" s="1370"/>
      <c r="W263" s="1370"/>
      <c r="X263" s="1646"/>
      <c r="Y263" s="1370"/>
      <c r="Z263" s="1370"/>
      <c r="AA263" s="740"/>
      <c r="AB263" s="1370"/>
      <c r="AC263" s="1370"/>
      <c r="AD263" s="1370"/>
      <c r="AE263" s="1370"/>
      <c r="AF263" s="1370"/>
      <c r="AG263" s="1636"/>
      <c r="AH263" s="1636"/>
      <c r="AI263" s="1636"/>
      <c r="AJ263" s="1636"/>
      <c r="AK263" s="1636"/>
      <c r="AL263" s="1639">
        <v>0</v>
      </c>
    </row>
    <row s="1854" customFormat="1" customHeight="1" ht="22.5">
      <c r="A264" s="991"/>
      <c r="B264" s="1370"/>
      <c r="C264" s="1646"/>
      <c r="D264" s="687" t="s">
        <v>104</v>
      </c>
      <c r="E264" s="550" t="str">
        <f>E245&amp;".18"</f>
        <v>15.18</v>
      </c>
      <c r="F264" s="544" t="s">
        <v>755</v>
      </c>
      <c r="G264" s="2370" t="s">
        <v>578</v>
      </c>
      <c r="H264" s="549"/>
      <c r="I264" s="549">
        <v>160.47</v>
      </c>
      <c r="J264" s="549"/>
      <c r="K264" s="549"/>
      <c r="L264" s="549"/>
      <c r="M264" s="549"/>
      <c r="N264" s="549"/>
      <c r="O264" s="549"/>
      <c r="P264" s="1529" t="s">
        <v>579</v>
      </c>
      <c r="Q264" s="738"/>
      <c r="R264" s="1646"/>
      <c r="S264" s="1646"/>
      <c r="T264" s="1370"/>
      <c r="U264" s="1370"/>
      <c r="V264" s="1370"/>
      <c r="W264" s="1370"/>
      <c r="X264" s="1646"/>
      <c r="Y264" s="1370"/>
      <c r="Z264" s="1370"/>
      <c r="AA264" s="740"/>
      <c r="AB264" s="1370"/>
      <c r="AC264" s="1370"/>
      <c r="AD264" s="1370"/>
      <c r="AE264" s="1370"/>
      <c r="AF264" s="1370"/>
      <c r="AG264" s="1636"/>
      <c r="AH264" s="1636"/>
      <c r="AI264" s="1636"/>
      <c r="AJ264" s="1636"/>
      <c r="AK264" s="1636"/>
      <c r="AL264" s="1639">
        <v>0</v>
      </c>
    </row>
    <row s="1854" customFormat="1" customHeight="1" ht="22.5">
      <c r="A265" s="991"/>
      <c r="B265" s="1370"/>
      <c r="C265" s="1646"/>
      <c r="D265" s="687" t="s">
        <v>104</v>
      </c>
      <c r="E265" s="550" t="str">
        <f>E245&amp;".19"</f>
        <v>15.19</v>
      </c>
      <c r="F265" s="544" t="s">
        <v>756</v>
      </c>
      <c r="G265" s="2370" t="s">
        <v>578</v>
      </c>
      <c r="H265" s="549"/>
      <c r="I265" s="549">
        <v>160.04</v>
      </c>
      <c r="J265" s="549"/>
      <c r="K265" s="549"/>
      <c r="L265" s="549"/>
      <c r="M265" s="549"/>
      <c r="N265" s="549"/>
      <c r="O265" s="549"/>
      <c r="P265" s="1529" t="s">
        <v>579</v>
      </c>
      <c r="Q265" s="738"/>
      <c r="R265" s="1646"/>
      <c r="S265" s="1646"/>
      <c r="T265" s="1370"/>
      <c r="U265" s="1370"/>
      <c r="V265" s="1370"/>
      <c r="W265" s="1370"/>
      <c r="X265" s="1646"/>
      <c r="Y265" s="1370"/>
      <c r="Z265" s="1370"/>
      <c r="AA265" s="740"/>
      <c r="AB265" s="1370"/>
      <c r="AC265" s="1370"/>
      <c r="AD265" s="1370"/>
      <c r="AE265" s="1370"/>
      <c r="AF265" s="1370"/>
      <c r="AG265" s="1636"/>
      <c r="AH265" s="1636"/>
      <c r="AI265" s="1636"/>
      <c r="AJ265" s="1636"/>
      <c r="AK265" s="1636"/>
      <c r="AL265" s="1639">
        <v>0</v>
      </c>
    </row>
    <row s="1854" customFormat="1" customHeight="1" ht="22.5">
      <c r="A266" s="991"/>
      <c r="B266" s="1370"/>
      <c r="C266" s="1646"/>
      <c r="D266" s="687" t="s">
        <v>104</v>
      </c>
      <c r="E266" s="550" t="str">
        <f>E245&amp;".20"</f>
        <v>15.20</v>
      </c>
      <c r="F266" s="544" t="s">
        <v>757</v>
      </c>
      <c r="G266" s="2370" t="s">
        <v>578</v>
      </c>
      <c r="H266" s="549"/>
      <c r="I266" s="549">
        <v>160.1</v>
      </c>
      <c r="J266" s="549"/>
      <c r="K266" s="549"/>
      <c r="L266" s="549"/>
      <c r="M266" s="549"/>
      <c r="N266" s="549"/>
      <c r="O266" s="549"/>
      <c r="P266" s="1529" t="s">
        <v>579</v>
      </c>
      <c r="Q266" s="738"/>
      <c r="R266" s="1646"/>
      <c r="S266" s="1646"/>
      <c r="T266" s="1370"/>
      <c r="U266" s="1370"/>
      <c r="V266" s="1370"/>
      <c r="W266" s="1370"/>
      <c r="X266" s="1646"/>
      <c r="Y266" s="1370"/>
      <c r="Z266" s="1370"/>
      <c r="AA266" s="740"/>
      <c r="AB266" s="1370"/>
      <c r="AC266" s="1370"/>
      <c r="AD266" s="1370"/>
      <c r="AE266" s="1370"/>
      <c r="AF266" s="1370"/>
      <c r="AG266" s="1636"/>
      <c r="AH266" s="1636"/>
      <c r="AI266" s="1636"/>
      <c r="AJ266" s="1636"/>
      <c r="AK266" s="1636"/>
      <c r="AL266" s="1639">
        <v>0</v>
      </c>
    </row>
    <row s="1854" customFormat="1" customHeight="1" ht="22.5">
      <c r="A267" s="991"/>
      <c r="B267" s="1370"/>
      <c r="C267" s="1646"/>
      <c r="D267" s="687" t="s">
        <v>104</v>
      </c>
      <c r="E267" s="550" t="str">
        <f>E245&amp;".21"</f>
        <v>15.21</v>
      </c>
      <c r="F267" s="544" t="s">
        <v>758</v>
      </c>
      <c r="G267" s="2370" t="s">
        <v>578</v>
      </c>
      <c r="H267" s="549"/>
      <c r="I267" s="549">
        <v>159.51</v>
      </c>
      <c r="J267" s="549"/>
      <c r="K267" s="549"/>
      <c r="L267" s="549"/>
      <c r="M267" s="549"/>
      <c r="N267" s="549"/>
      <c r="O267" s="549"/>
      <c r="P267" s="1529" t="s">
        <v>579</v>
      </c>
      <c r="Q267" s="738"/>
      <c r="R267" s="1646"/>
      <c r="S267" s="1646"/>
      <c r="T267" s="1370"/>
      <c r="U267" s="1370"/>
      <c r="V267" s="1370"/>
      <c r="W267" s="1370"/>
      <c r="X267" s="1646"/>
      <c r="Y267" s="1370"/>
      <c r="Z267" s="1370"/>
      <c r="AA267" s="740"/>
      <c r="AB267" s="1370"/>
      <c r="AC267" s="1370"/>
      <c r="AD267" s="1370"/>
      <c r="AE267" s="1370"/>
      <c r="AF267" s="1370"/>
      <c r="AG267" s="1636"/>
      <c r="AH267" s="1636"/>
      <c r="AI267" s="1636"/>
      <c r="AJ267" s="1636"/>
      <c r="AK267" s="1636"/>
      <c r="AL267" s="1639">
        <v>0</v>
      </c>
    </row>
    <row s="1854" customFormat="1" customHeight="1" ht="22.5">
      <c r="A268" s="991"/>
      <c r="B268" s="1370"/>
      <c r="C268" s="1646"/>
      <c r="D268" s="687" t="s">
        <v>104</v>
      </c>
      <c r="E268" s="550" t="str">
        <f>E245&amp;".22"</f>
        <v>15.22</v>
      </c>
      <c r="F268" s="544" t="s">
        <v>759</v>
      </c>
      <c r="G268" s="2370" t="s">
        <v>578</v>
      </c>
      <c r="H268" s="549"/>
      <c r="I268" s="549">
        <v>159.66</v>
      </c>
      <c r="J268" s="549"/>
      <c r="K268" s="549"/>
      <c r="L268" s="549"/>
      <c r="M268" s="549"/>
      <c r="N268" s="549"/>
      <c r="O268" s="549"/>
      <c r="P268" s="1529" t="s">
        <v>579</v>
      </c>
      <c r="Q268" s="738"/>
      <c r="R268" s="1646"/>
      <c r="S268" s="1646"/>
      <c r="T268" s="1370"/>
      <c r="U268" s="1370"/>
      <c r="V268" s="1370"/>
      <c r="W268" s="1370"/>
      <c r="X268" s="1646"/>
      <c r="Y268" s="1370"/>
      <c r="Z268" s="1370"/>
      <c r="AA268" s="740"/>
      <c r="AB268" s="1370"/>
      <c r="AC268" s="1370"/>
      <c r="AD268" s="1370"/>
      <c r="AE268" s="1370"/>
      <c r="AF268" s="1370"/>
      <c r="AG268" s="1636"/>
      <c r="AH268" s="1636"/>
      <c r="AI268" s="1636"/>
      <c r="AJ268" s="1636"/>
      <c r="AK268" s="1636"/>
      <c r="AL268" s="1639">
        <v>0</v>
      </c>
    </row>
    <row s="1854" customFormat="1" customHeight="1" ht="22.5">
      <c r="A269" s="991"/>
      <c r="B269" s="1370"/>
      <c r="C269" s="1646"/>
      <c r="D269" s="687" t="s">
        <v>104</v>
      </c>
      <c r="E269" s="550" t="str">
        <f>E245&amp;".23"</f>
        <v>15.23</v>
      </c>
      <c r="F269" s="544" t="s">
        <v>760</v>
      </c>
      <c r="G269" s="2370" t="s">
        <v>578</v>
      </c>
      <c r="H269" s="549"/>
      <c r="I269" s="549">
        <v>159.76</v>
      </c>
      <c r="J269" s="549"/>
      <c r="K269" s="549"/>
      <c r="L269" s="549"/>
      <c r="M269" s="549"/>
      <c r="N269" s="549"/>
      <c r="O269" s="549"/>
      <c r="P269" s="1529" t="s">
        <v>579</v>
      </c>
      <c r="Q269" s="738"/>
      <c r="R269" s="1646"/>
      <c r="S269" s="1646"/>
      <c r="T269" s="1370"/>
      <c r="U269" s="1370"/>
      <c r="V269" s="1370"/>
      <c r="W269" s="1370"/>
      <c r="X269" s="1646"/>
      <c r="Y269" s="1370"/>
      <c r="Z269" s="1370"/>
      <c r="AA269" s="740"/>
      <c r="AB269" s="1370"/>
      <c r="AC269" s="1370"/>
      <c r="AD269" s="1370"/>
      <c r="AE269" s="1370"/>
      <c r="AF269" s="1370"/>
      <c r="AG269" s="1636"/>
      <c r="AH269" s="1636"/>
      <c r="AI269" s="1636"/>
      <c r="AJ269" s="1636"/>
      <c r="AK269" s="1636"/>
      <c r="AL269" s="1639">
        <v>0</v>
      </c>
    </row>
    <row s="1854" customFormat="1" customHeight="1" ht="22.5">
      <c r="A270" s="991"/>
      <c r="B270" s="1370"/>
      <c r="C270" s="1646"/>
      <c r="D270" s="687" t="s">
        <v>104</v>
      </c>
      <c r="E270" s="550" t="str">
        <f>E245&amp;".24"</f>
        <v>15.24</v>
      </c>
      <c r="F270" s="544" t="s">
        <v>761</v>
      </c>
      <c r="G270" s="2370" t="s">
        <v>578</v>
      </c>
      <c r="H270" s="549"/>
      <c r="I270" s="549">
        <v>160.35</v>
      </c>
      <c r="J270" s="549"/>
      <c r="K270" s="549"/>
      <c r="L270" s="549"/>
      <c r="M270" s="549"/>
      <c r="N270" s="549"/>
      <c r="O270" s="549"/>
      <c r="P270" s="1529" t="s">
        <v>579</v>
      </c>
      <c r="Q270" s="738"/>
      <c r="R270" s="1646"/>
      <c r="S270" s="1646"/>
      <c r="T270" s="1370"/>
      <c r="U270" s="1370"/>
      <c r="V270" s="1370"/>
      <c r="W270" s="1370"/>
      <c r="X270" s="1646"/>
      <c r="Y270" s="1370"/>
      <c r="Z270" s="1370"/>
      <c r="AA270" s="740"/>
      <c r="AB270" s="1370"/>
      <c r="AC270" s="1370"/>
      <c r="AD270" s="1370"/>
      <c r="AE270" s="1370"/>
      <c r="AF270" s="1370"/>
      <c r="AG270" s="1636"/>
      <c r="AH270" s="1636"/>
      <c r="AI270" s="1636"/>
      <c r="AJ270" s="1636"/>
      <c r="AK270" s="1636"/>
      <c r="AL270" s="1639">
        <v>0</v>
      </c>
    </row>
    <row s="1854" customFormat="1" customHeight="1" ht="22.5">
      <c r="A271" s="991"/>
      <c r="B271" s="1370"/>
      <c r="C271" s="1646"/>
      <c r="D271" s="687" t="s">
        <v>104</v>
      </c>
      <c r="E271" s="550" t="str">
        <f>E245&amp;".25"</f>
        <v>15.25</v>
      </c>
      <c r="F271" s="544" t="s">
        <v>762</v>
      </c>
      <c r="G271" s="2370" t="s">
        <v>578</v>
      </c>
      <c r="H271" s="549"/>
      <c r="I271" s="549">
        <v>159.39</v>
      </c>
      <c r="J271" s="549"/>
      <c r="K271" s="549"/>
      <c r="L271" s="549"/>
      <c r="M271" s="549"/>
      <c r="N271" s="549"/>
      <c r="O271" s="549"/>
      <c r="P271" s="1529" t="s">
        <v>579</v>
      </c>
      <c r="Q271" s="738"/>
      <c r="R271" s="1646"/>
      <c r="S271" s="1646"/>
      <c r="T271" s="1370"/>
      <c r="U271" s="1370"/>
      <c r="V271" s="1370"/>
      <c r="W271" s="1370"/>
      <c r="X271" s="1646"/>
      <c r="Y271" s="1370"/>
      <c r="Z271" s="1370"/>
      <c r="AA271" s="740"/>
      <c r="AB271" s="1370"/>
      <c r="AC271" s="1370"/>
      <c r="AD271" s="1370"/>
      <c r="AE271" s="1370"/>
      <c r="AF271" s="1370"/>
      <c r="AG271" s="1636"/>
      <c r="AH271" s="1636"/>
      <c r="AI271" s="1636"/>
      <c r="AJ271" s="1636"/>
      <c r="AK271" s="1636"/>
      <c r="AL271" s="1639">
        <v>0</v>
      </c>
    </row>
    <row s="1854" customFormat="1" customHeight="1" ht="22.5">
      <c r="A272" s="991"/>
      <c r="B272" s="1370"/>
      <c r="C272" s="1646"/>
      <c r="D272" s="687" t="s">
        <v>104</v>
      </c>
      <c r="E272" s="550" t="str">
        <f>E245&amp;".26"</f>
        <v>15.26</v>
      </c>
      <c r="F272" s="544" t="s">
        <v>763</v>
      </c>
      <c r="G272" s="2370" t="s">
        <v>578</v>
      </c>
      <c r="H272" s="549"/>
      <c r="I272" s="549">
        <v>159.54</v>
      </c>
      <c r="J272" s="549"/>
      <c r="K272" s="549"/>
      <c r="L272" s="549"/>
      <c r="M272" s="549"/>
      <c r="N272" s="549"/>
      <c r="O272" s="549"/>
      <c r="P272" s="1529" t="s">
        <v>579</v>
      </c>
      <c r="Q272" s="738"/>
      <c r="R272" s="1646"/>
      <c r="S272" s="1646"/>
      <c r="T272" s="1370"/>
      <c r="U272" s="1370"/>
      <c r="V272" s="1370"/>
      <c r="W272" s="1370"/>
      <c r="X272" s="1646"/>
      <c r="Y272" s="1370"/>
      <c r="Z272" s="1370"/>
      <c r="AA272" s="740"/>
      <c r="AB272" s="1370"/>
      <c r="AC272" s="1370"/>
      <c r="AD272" s="1370"/>
      <c r="AE272" s="1370"/>
      <c r="AF272" s="1370"/>
      <c r="AG272" s="1636"/>
      <c r="AH272" s="1636"/>
      <c r="AI272" s="1636"/>
      <c r="AJ272" s="1636"/>
      <c r="AK272" s="1636"/>
      <c r="AL272" s="1639">
        <v>0</v>
      </c>
    </row>
    <row s="1854" customFormat="1" customHeight="1" ht="22.5">
      <c r="A273" s="991"/>
      <c r="B273" s="1370"/>
      <c r="C273" s="1646"/>
      <c r="D273" s="687" t="s">
        <v>104</v>
      </c>
      <c r="E273" s="550" t="str">
        <f>E245&amp;".27"</f>
        <v>15.27</v>
      </c>
      <c r="F273" s="544" t="s">
        <v>764</v>
      </c>
      <c r="G273" s="2370" t="s">
        <v>578</v>
      </c>
      <c r="H273" s="549"/>
      <c r="I273" s="549">
        <v>159.42</v>
      </c>
      <c r="J273" s="549"/>
      <c r="K273" s="549"/>
      <c r="L273" s="549"/>
      <c r="M273" s="549"/>
      <c r="N273" s="549"/>
      <c r="O273" s="549"/>
      <c r="P273" s="1529" t="s">
        <v>579</v>
      </c>
      <c r="Q273" s="738"/>
      <c r="R273" s="1646"/>
      <c r="S273" s="1646"/>
      <c r="T273" s="1370"/>
      <c r="U273" s="1370"/>
      <c r="V273" s="1370"/>
      <c r="W273" s="1370"/>
      <c r="X273" s="1646"/>
      <c r="Y273" s="1370"/>
      <c r="Z273" s="1370"/>
      <c r="AA273" s="740"/>
      <c r="AB273" s="1370"/>
      <c r="AC273" s="1370"/>
      <c r="AD273" s="1370"/>
      <c r="AE273" s="1370"/>
      <c r="AF273" s="1370"/>
      <c r="AG273" s="1636"/>
      <c r="AH273" s="1636"/>
      <c r="AI273" s="1636"/>
      <c r="AJ273" s="1636"/>
      <c r="AK273" s="1636"/>
      <c r="AL273" s="1639">
        <v>0</v>
      </c>
    </row>
    <row s="1854" customFormat="1" customHeight="1" ht="22.5">
      <c r="A274" s="991"/>
      <c r="B274" s="1370"/>
      <c r="C274" s="1646"/>
      <c r="D274" s="687" t="s">
        <v>104</v>
      </c>
      <c r="E274" s="550" t="str">
        <f>E245&amp;".28"</f>
        <v>15.28</v>
      </c>
      <c r="F274" s="544" t="s">
        <v>765</v>
      </c>
      <c r="G274" s="2370" t="s">
        <v>578</v>
      </c>
      <c r="H274" s="549"/>
      <c r="I274" s="549">
        <v>180.03</v>
      </c>
      <c r="J274" s="549"/>
      <c r="K274" s="549"/>
      <c r="L274" s="549"/>
      <c r="M274" s="549"/>
      <c r="N274" s="549"/>
      <c r="O274" s="549"/>
      <c r="P274" s="1529" t="s">
        <v>579</v>
      </c>
      <c r="Q274" s="738"/>
      <c r="R274" s="1646"/>
      <c r="S274" s="1646"/>
      <c r="T274" s="1370"/>
      <c r="U274" s="1370"/>
      <c r="V274" s="1370"/>
      <c r="W274" s="1370"/>
      <c r="X274" s="1646"/>
      <c r="Y274" s="1370"/>
      <c r="Z274" s="1370"/>
      <c r="AA274" s="740"/>
      <c r="AB274" s="1370"/>
      <c r="AC274" s="1370"/>
      <c r="AD274" s="1370"/>
      <c r="AE274" s="1370"/>
      <c r="AF274" s="1370"/>
      <c r="AG274" s="1636"/>
      <c r="AH274" s="1636"/>
      <c r="AI274" s="1636"/>
      <c r="AJ274" s="1636"/>
      <c r="AK274" s="1636"/>
      <c r="AL274" s="1639">
        <v>0</v>
      </c>
    </row>
    <row s="1854" customFormat="1" customHeight="1" ht="22.5">
      <c r="A275" s="991"/>
      <c r="B275" s="1370"/>
      <c r="C275" s="1646"/>
      <c r="D275" s="687" t="s">
        <v>104</v>
      </c>
      <c r="E275" s="550" t="str">
        <f>E245&amp;".29"</f>
        <v>15.29</v>
      </c>
      <c r="F275" s="544" t="s">
        <v>766</v>
      </c>
      <c r="G275" s="2370" t="s">
        <v>578</v>
      </c>
      <c r="H275" s="549"/>
      <c r="I275" s="549">
        <v>159.6</v>
      </c>
      <c r="J275" s="549"/>
      <c r="K275" s="549"/>
      <c r="L275" s="549"/>
      <c r="M275" s="549"/>
      <c r="N275" s="549"/>
      <c r="O275" s="549"/>
      <c r="P275" s="1529" t="s">
        <v>579</v>
      </c>
      <c r="Q275" s="738"/>
      <c r="R275" s="1646"/>
      <c r="S275" s="1646"/>
      <c r="T275" s="1370"/>
      <c r="U275" s="1370"/>
      <c r="V275" s="1370"/>
      <c r="W275" s="1370"/>
      <c r="X275" s="1646"/>
      <c r="Y275" s="1370"/>
      <c r="Z275" s="1370"/>
      <c r="AA275" s="740"/>
      <c r="AB275" s="1370"/>
      <c r="AC275" s="1370"/>
      <c r="AD275" s="1370"/>
      <c r="AE275" s="1370"/>
      <c r="AF275" s="1370"/>
      <c r="AG275" s="1636"/>
      <c r="AH275" s="1636"/>
      <c r="AI275" s="1636"/>
      <c r="AJ275" s="1636"/>
      <c r="AK275" s="1636"/>
      <c r="AL275" s="1639">
        <v>0</v>
      </c>
    </row>
    <row s="1854" customFormat="1" customHeight="1" ht="22.5">
      <c r="A276" s="991"/>
      <c r="B276" s="1370"/>
      <c r="C276" s="1646"/>
      <c r="D276" s="687" t="s">
        <v>104</v>
      </c>
      <c r="E276" s="550" t="str">
        <f>E245&amp;".30"</f>
        <v>15.30</v>
      </c>
      <c r="F276" s="544" t="s">
        <v>767</v>
      </c>
      <c r="G276" s="2370" t="s">
        <v>578</v>
      </c>
      <c r="H276" s="549"/>
      <c r="I276" s="549">
        <v>159.84</v>
      </c>
      <c r="J276" s="549"/>
      <c r="K276" s="549"/>
      <c r="L276" s="549"/>
      <c r="M276" s="549"/>
      <c r="N276" s="549"/>
      <c r="O276" s="549"/>
      <c r="P276" s="1529" t="s">
        <v>579</v>
      </c>
      <c r="Q276" s="738"/>
      <c r="R276" s="1646"/>
      <c r="S276" s="1646"/>
      <c r="T276" s="1370"/>
      <c r="U276" s="1370"/>
      <c r="V276" s="1370"/>
      <c r="W276" s="1370"/>
      <c r="X276" s="1646"/>
      <c r="Y276" s="1370"/>
      <c r="Z276" s="1370"/>
      <c r="AA276" s="740"/>
      <c r="AB276" s="1370"/>
      <c r="AC276" s="1370"/>
      <c r="AD276" s="1370"/>
      <c r="AE276" s="1370"/>
      <c r="AF276" s="1370"/>
      <c r="AG276" s="1636"/>
      <c r="AH276" s="1636"/>
      <c r="AI276" s="1636"/>
      <c r="AJ276" s="1636"/>
      <c r="AK276" s="1636"/>
      <c r="AL276" s="1639">
        <v>0</v>
      </c>
    </row>
    <row s="1854" customFormat="1" customHeight="1" ht="22.5">
      <c r="A277" s="991"/>
      <c r="B277" s="1370"/>
      <c r="C277" s="1646"/>
      <c r="D277" s="687" t="s">
        <v>104</v>
      </c>
      <c r="E277" s="550" t="str">
        <f>E245&amp;".31"</f>
        <v>15.31</v>
      </c>
      <c r="F277" s="544" t="s">
        <v>768</v>
      </c>
      <c r="G277" s="2370" t="s">
        <v>578</v>
      </c>
      <c r="H277" s="549"/>
      <c r="I277" s="549">
        <v>161.21</v>
      </c>
      <c r="J277" s="549"/>
      <c r="K277" s="549"/>
      <c r="L277" s="549"/>
      <c r="M277" s="549"/>
      <c r="N277" s="549"/>
      <c r="O277" s="549"/>
      <c r="P277" s="1529" t="s">
        <v>579</v>
      </c>
      <c r="Q277" s="738"/>
      <c r="R277" s="1646"/>
      <c r="S277" s="1646"/>
      <c r="T277" s="1370"/>
      <c r="U277" s="1370"/>
      <c r="V277" s="1370"/>
      <c r="W277" s="1370"/>
      <c r="X277" s="1646"/>
      <c r="Y277" s="1370"/>
      <c r="Z277" s="1370"/>
      <c r="AA277" s="740"/>
      <c r="AB277" s="1370"/>
      <c r="AC277" s="1370"/>
      <c r="AD277" s="1370"/>
      <c r="AE277" s="1370"/>
      <c r="AF277" s="1370"/>
      <c r="AG277" s="1636"/>
      <c r="AH277" s="1636"/>
      <c r="AI277" s="1636"/>
      <c r="AJ277" s="1636"/>
      <c r="AK277" s="1636"/>
      <c r="AL277" s="1639">
        <v>0</v>
      </c>
    </row>
    <row s="1854" customFormat="1" customHeight="1" ht="22.5">
      <c r="A278" s="991"/>
      <c r="B278" s="1370"/>
      <c r="C278" s="1646"/>
      <c r="D278" s="687" t="s">
        <v>104</v>
      </c>
      <c r="E278" s="550" t="str">
        <f>E245&amp;".32"</f>
        <v>15.32</v>
      </c>
      <c r="F278" s="544" t="s">
        <v>769</v>
      </c>
      <c r="G278" s="2370" t="s">
        <v>578</v>
      </c>
      <c r="H278" s="549"/>
      <c r="I278" s="549">
        <v>163.07</v>
      </c>
      <c r="J278" s="549"/>
      <c r="K278" s="549"/>
      <c r="L278" s="549"/>
      <c r="M278" s="549"/>
      <c r="N278" s="549"/>
      <c r="O278" s="549"/>
      <c r="P278" s="1529" t="s">
        <v>579</v>
      </c>
      <c r="Q278" s="738"/>
      <c r="R278" s="1646"/>
      <c r="S278" s="1646"/>
      <c r="T278" s="1370"/>
      <c r="U278" s="1370"/>
      <c r="V278" s="1370"/>
      <c r="W278" s="1370"/>
      <c r="X278" s="1646"/>
      <c r="Y278" s="1370"/>
      <c r="Z278" s="1370"/>
      <c r="AA278" s="740"/>
      <c r="AB278" s="1370"/>
      <c r="AC278" s="1370"/>
      <c r="AD278" s="1370"/>
      <c r="AE278" s="1370"/>
      <c r="AF278" s="1370"/>
      <c r="AG278" s="1636"/>
      <c r="AH278" s="1636"/>
      <c r="AI278" s="1636"/>
      <c r="AJ278" s="1636"/>
      <c r="AK278" s="1636"/>
      <c r="AL278" s="1639">
        <v>0</v>
      </c>
    </row>
    <row s="1854" customFormat="1" customHeight="1" ht="22.5">
      <c r="A279" s="991"/>
      <c r="B279" s="1370"/>
      <c r="C279" s="1646"/>
      <c r="D279" s="687" t="s">
        <v>104</v>
      </c>
      <c r="E279" s="550" t="str">
        <f>E245&amp;".33"</f>
        <v>15.33</v>
      </c>
      <c r="F279" s="544" t="s">
        <v>770</v>
      </c>
      <c r="G279" s="2370" t="s">
        <v>578</v>
      </c>
      <c r="H279" s="549"/>
      <c r="I279" s="549">
        <v>163.32</v>
      </c>
      <c r="J279" s="549"/>
      <c r="K279" s="549"/>
      <c r="L279" s="549"/>
      <c r="M279" s="549"/>
      <c r="N279" s="549"/>
      <c r="O279" s="549"/>
      <c r="P279" s="1529" t="s">
        <v>579</v>
      </c>
      <c r="Q279" s="738"/>
      <c r="R279" s="1646"/>
      <c r="S279" s="1646"/>
      <c r="T279" s="1370"/>
      <c r="U279" s="1370"/>
      <c r="V279" s="1370"/>
      <c r="W279" s="1370"/>
      <c r="X279" s="1646"/>
      <c r="Y279" s="1370"/>
      <c r="Z279" s="1370"/>
      <c r="AA279" s="740"/>
      <c r="AB279" s="1370"/>
      <c r="AC279" s="1370"/>
      <c r="AD279" s="1370"/>
      <c r="AE279" s="1370"/>
      <c r="AF279" s="1370"/>
      <c r="AG279" s="1636"/>
      <c r="AH279" s="1636"/>
      <c r="AI279" s="1636"/>
      <c r="AJ279" s="1636"/>
      <c r="AK279" s="1636"/>
      <c r="AL279" s="1639">
        <v>0</v>
      </c>
    </row>
    <row s="1854" customFormat="1" customHeight="1" ht="22.5">
      <c r="A280" s="991"/>
      <c r="B280" s="1370"/>
      <c r="C280" s="1646"/>
      <c r="D280" s="687" t="s">
        <v>104</v>
      </c>
      <c r="E280" s="550" t="str">
        <f>E245&amp;".34"</f>
        <v>15.34</v>
      </c>
      <c r="F280" s="544" t="s">
        <v>771</v>
      </c>
      <c r="G280" s="2370" t="s">
        <v>578</v>
      </c>
      <c r="H280" s="549"/>
      <c r="I280" s="549">
        <v>163.34</v>
      </c>
      <c r="J280" s="549"/>
      <c r="K280" s="549"/>
      <c r="L280" s="549"/>
      <c r="M280" s="549"/>
      <c r="N280" s="549"/>
      <c r="O280" s="549"/>
      <c r="P280" s="1529" t="s">
        <v>579</v>
      </c>
      <c r="Q280" s="738"/>
      <c r="R280" s="1646"/>
      <c r="S280" s="1646"/>
      <c r="T280" s="1370"/>
      <c r="U280" s="1370"/>
      <c r="V280" s="1370"/>
      <c r="W280" s="1370"/>
      <c r="X280" s="1646"/>
      <c r="Y280" s="1370"/>
      <c r="Z280" s="1370"/>
      <c r="AA280" s="740"/>
      <c r="AB280" s="1370"/>
      <c r="AC280" s="1370"/>
      <c r="AD280" s="1370"/>
      <c r="AE280" s="1370"/>
      <c r="AF280" s="1370"/>
      <c r="AG280" s="1636"/>
      <c r="AH280" s="1636"/>
      <c r="AI280" s="1636"/>
      <c r="AJ280" s="1636"/>
      <c r="AK280" s="1636"/>
      <c r="AL280" s="1639">
        <v>0</v>
      </c>
    </row>
    <row s="1854" customFormat="1" customHeight="1" ht="22.5">
      <c r="A281" s="991"/>
      <c r="B281" s="1370"/>
      <c r="C281" s="1646"/>
      <c r="D281" s="687" t="s">
        <v>104</v>
      </c>
      <c r="E281" s="550" t="str">
        <f>E245&amp;".35"</f>
        <v>15.35</v>
      </c>
      <c r="F281" s="544" t="s">
        <v>772</v>
      </c>
      <c r="G281" s="2370" t="s">
        <v>578</v>
      </c>
      <c r="H281" s="549"/>
      <c r="I281" s="549">
        <v>159.85</v>
      </c>
      <c r="J281" s="549"/>
      <c r="K281" s="549"/>
      <c r="L281" s="549"/>
      <c r="M281" s="549"/>
      <c r="N281" s="549"/>
      <c r="O281" s="549"/>
      <c r="P281" s="1529" t="s">
        <v>579</v>
      </c>
      <c r="Q281" s="738"/>
      <c r="R281" s="1646"/>
      <c r="S281" s="1646"/>
      <c r="T281" s="1370"/>
      <c r="U281" s="1370"/>
      <c r="V281" s="1370"/>
      <c r="W281" s="1370"/>
      <c r="X281" s="1646"/>
      <c r="Y281" s="1370"/>
      <c r="Z281" s="1370"/>
      <c r="AA281" s="740"/>
      <c r="AB281" s="1370"/>
      <c r="AC281" s="1370"/>
      <c r="AD281" s="1370"/>
      <c r="AE281" s="1370"/>
      <c r="AF281" s="1370"/>
      <c r="AG281" s="1636"/>
      <c r="AH281" s="1636"/>
      <c r="AI281" s="1636"/>
      <c r="AJ281" s="1636"/>
      <c r="AK281" s="1636"/>
      <c r="AL281" s="1639">
        <v>0</v>
      </c>
    </row>
    <row s="1854" customFormat="1" customHeight="1" ht="22.5">
      <c r="A282" s="991"/>
      <c r="B282" s="1370"/>
      <c r="C282" s="1646"/>
      <c r="D282" s="687" t="s">
        <v>104</v>
      </c>
      <c r="E282" s="550" t="str">
        <f>E245&amp;".36"</f>
        <v>15.36</v>
      </c>
      <c r="F282" s="544" t="s">
        <v>773</v>
      </c>
      <c r="G282" s="2370" t="s">
        <v>578</v>
      </c>
      <c r="H282" s="549"/>
      <c r="I282" s="549">
        <v>163.61</v>
      </c>
      <c r="J282" s="549"/>
      <c r="K282" s="549"/>
      <c r="L282" s="549"/>
      <c r="M282" s="549"/>
      <c r="N282" s="549"/>
      <c r="O282" s="549"/>
      <c r="P282" s="1529" t="s">
        <v>579</v>
      </c>
      <c r="Q282" s="738"/>
      <c r="R282" s="1646"/>
      <c r="S282" s="1646"/>
      <c r="T282" s="1370"/>
      <c r="U282" s="1370"/>
      <c r="V282" s="1370"/>
      <c r="W282" s="1370"/>
      <c r="X282" s="1646"/>
      <c r="Y282" s="1370"/>
      <c r="Z282" s="1370"/>
      <c r="AA282" s="740"/>
      <c r="AB282" s="1370"/>
      <c r="AC282" s="1370"/>
      <c r="AD282" s="1370"/>
      <c r="AE282" s="1370"/>
      <c r="AF282" s="1370"/>
      <c r="AG282" s="1636"/>
      <c r="AH282" s="1636"/>
      <c r="AI282" s="1636"/>
      <c r="AJ282" s="1636"/>
      <c r="AK282" s="1636"/>
      <c r="AL282" s="1639">
        <v>0</v>
      </c>
    </row>
    <row s="1854" customFormat="1" customHeight="1" ht="22.5">
      <c r="A283" s="991"/>
      <c r="B283" s="1370"/>
      <c r="C283" s="1646"/>
      <c r="D283" s="687" t="s">
        <v>104</v>
      </c>
      <c r="E283" s="550" t="str">
        <f>E245&amp;".37"</f>
        <v>15.37</v>
      </c>
      <c r="F283" s="544" t="s">
        <v>774</v>
      </c>
      <c r="G283" s="2370" t="s">
        <v>578</v>
      </c>
      <c r="H283" s="549"/>
      <c r="I283" s="549">
        <v>164.81</v>
      </c>
      <c r="J283" s="549"/>
      <c r="K283" s="549"/>
      <c r="L283" s="549"/>
      <c r="M283" s="549"/>
      <c r="N283" s="549"/>
      <c r="O283" s="549"/>
      <c r="P283" s="1529" t="s">
        <v>579</v>
      </c>
      <c r="Q283" s="738"/>
      <c r="R283" s="1646"/>
      <c r="S283" s="1646"/>
      <c r="T283" s="1370"/>
      <c r="U283" s="1370"/>
      <c r="V283" s="1370"/>
      <c r="W283" s="1370"/>
      <c r="X283" s="1646"/>
      <c r="Y283" s="1370"/>
      <c r="Z283" s="1370"/>
      <c r="AA283" s="740"/>
      <c r="AB283" s="1370"/>
      <c r="AC283" s="1370"/>
      <c r="AD283" s="1370"/>
      <c r="AE283" s="1370"/>
      <c r="AF283" s="1370"/>
      <c r="AG283" s="1636"/>
      <c r="AH283" s="1636"/>
      <c r="AI283" s="1636"/>
      <c r="AJ283" s="1636"/>
      <c r="AK283" s="1636"/>
      <c r="AL283" s="1639">
        <v>0</v>
      </c>
    </row>
    <row s="1854" customFormat="1" customHeight="1" ht="22.5">
      <c r="A284" s="991"/>
      <c r="B284" s="1370"/>
      <c r="C284" s="1646"/>
      <c r="D284" s="687" t="s">
        <v>104</v>
      </c>
      <c r="E284" s="550" t="str">
        <f>E245&amp;".38"</f>
        <v>15.38</v>
      </c>
      <c r="F284" s="544" t="s">
        <v>775</v>
      </c>
      <c r="G284" s="2370" t="s">
        <v>578</v>
      </c>
      <c r="H284" s="549"/>
      <c r="I284" s="549">
        <v>164.85</v>
      </c>
      <c r="J284" s="549"/>
      <c r="K284" s="549"/>
      <c r="L284" s="549"/>
      <c r="M284" s="549"/>
      <c r="N284" s="549"/>
      <c r="O284" s="549"/>
      <c r="P284" s="1529" t="s">
        <v>579</v>
      </c>
      <c r="Q284" s="738"/>
      <c r="R284" s="1646"/>
      <c r="S284" s="1646"/>
      <c r="T284" s="1370"/>
      <c r="U284" s="1370"/>
      <c r="V284" s="1370"/>
      <c r="W284" s="1370"/>
      <c r="X284" s="1646"/>
      <c r="Y284" s="1370"/>
      <c r="Z284" s="1370"/>
      <c r="AA284" s="740"/>
      <c r="AB284" s="1370"/>
      <c r="AC284" s="1370"/>
      <c r="AD284" s="1370"/>
      <c r="AE284" s="1370"/>
      <c r="AF284" s="1370"/>
      <c r="AG284" s="1636"/>
      <c r="AH284" s="1636"/>
      <c r="AI284" s="1636"/>
      <c r="AJ284" s="1636"/>
      <c r="AK284" s="1636"/>
      <c r="AL284" s="1639">
        <v>0</v>
      </c>
    </row>
    <row s="1854" customFormat="1" customHeight="1" ht="22.5">
      <c r="A285" s="991"/>
      <c r="B285" s="1370"/>
      <c r="C285" s="1646"/>
      <c r="D285" s="687" t="s">
        <v>104</v>
      </c>
      <c r="E285" s="550" t="str">
        <f>E245&amp;".39"</f>
        <v>15.39</v>
      </c>
      <c r="F285" s="544" t="s">
        <v>776</v>
      </c>
      <c r="G285" s="2370" t="s">
        <v>578</v>
      </c>
      <c r="H285" s="549"/>
      <c r="I285" s="549">
        <v>161.31</v>
      </c>
      <c r="J285" s="549"/>
      <c r="K285" s="549"/>
      <c r="L285" s="549"/>
      <c r="M285" s="549"/>
      <c r="N285" s="549"/>
      <c r="O285" s="549"/>
      <c r="P285" s="1529" t="s">
        <v>579</v>
      </c>
      <c r="Q285" s="738"/>
      <c r="R285" s="1646"/>
      <c r="S285" s="1646"/>
      <c r="T285" s="1370"/>
      <c r="U285" s="1370"/>
      <c r="V285" s="1370"/>
      <c r="W285" s="1370"/>
      <c r="X285" s="1646"/>
      <c r="Y285" s="1370"/>
      <c r="Z285" s="1370"/>
      <c r="AA285" s="740"/>
      <c r="AB285" s="1370"/>
      <c r="AC285" s="1370"/>
      <c r="AD285" s="1370"/>
      <c r="AE285" s="1370"/>
      <c r="AF285" s="1370"/>
      <c r="AG285" s="1636"/>
      <c r="AH285" s="1636"/>
      <c r="AI285" s="1636"/>
      <c r="AJ285" s="1636"/>
      <c r="AK285" s="1636"/>
      <c r="AL285" s="1639">
        <v>0</v>
      </c>
    </row>
    <row s="1854" customFormat="1" customHeight="1" ht="22.5">
      <c r="A286" s="991"/>
      <c r="B286" s="1370"/>
      <c r="C286" s="1646"/>
      <c r="D286" s="687" t="s">
        <v>104</v>
      </c>
      <c r="E286" s="550" t="str">
        <f>E245&amp;".40"</f>
        <v>15.40</v>
      </c>
      <c r="F286" s="544" t="s">
        <v>777</v>
      </c>
      <c r="G286" s="2370" t="s">
        <v>578</v>
      </c>
      <c r="H286" s="549"/>
      <c r="I286" s="549">
        <v>160.4</v>
      </c>
      <c r="J286" s="549"/>
      <c r="K286" s="549"/>
      <c r="L286" s="549"/>
      <c r="M286" s="549"/>
      <c r="N286" s="549"/>
      <c r="O286" s="549"/>
      <c r="P286" s="1529" t="s">
        <v>579</v>
      </c>
      <c r="Q286" s="738"/>
      <c r="R286" s="1646"/>
      <c r="S286" s="1646"/>
      <c r="T286" s="1370"/>
      <c r="U286" s="1370"/>
      <c r="V286" s="1370"/>
      <c r="W286" s="1370"/>
      <c r="X286" s="1646"/>
      <c r="Y286" s="1370"/>
      <c r="Z286" s="1370"/>
      <c r="AA286" s="740"/>
      <c r="AB286" s="1370"/>
      <c r="AC286" s="1370"/>
      <c r="AD286" s="1370"/>
      <c r="AE286" s="1370"/>
      <c r="AF286" s="1370"/>
      <c r="AG286" s="1636"/>
      <c r="AH286" s="1636"/>
      <c r="AI286" s="1636"/>
      <c r="AJ286" s="1636"/>
      <c r="AK286" s="1636"/>
      <c r="AL286" s="1639">
        <v>0</v>
      </c>
    </row>
    <row s="1854" customFormat="1" customHeight="1" ht="22.5">
      <c r="A287" s="991"/>
      <c r="B287" s="1370"/>
      <c r="C287" s="1646"/>
      <c r="D287" s="687" t="s">
        <v>104</v>
      </c>
      <c r="E287" s="550" t="str">
        <f>E245&amp;".41"</f>
        <v>15.41</v>
      </c>
      <c r="F287" s="544" t="s">
        <v>778</v>
      </c>
      <c r="G287" s="2370" t="s">
        <v>578</v>
      </c>
      <c r="H287" s="549"/>
      <c r="I287" s="549">
        <v>157.01</v>
      </c>
      <c r="J287" s="549"/>
      <c r="K287" s="549"/>
      <c r="L287" s="549"/>
      <c r="M287" s="549"/>
      <c r="N287" s="549"/>
      <c r="O287" s="549"/>
      <c r="P287" s="1529" t="s">
        <v>579</v>
      </c>
      <c r="Q287" s="738"/>
      <c r="R287" s="1646"/>
      <c r="S287" s="1646"/>
      <c r="T287" s="1370"/>
      <c r="U287" s="1370"/>
      <c r="V287" s="1370"/>
      <c r="W287" s="1370"/>
      <c r="X287" s="1646"/>
      <c r="Y287" s="1370"/>
      <c r="Z287" s="1370"/>
      <c r="AA287" s="740"/>
      <c r="AB287" s="1370"/>
      <c r="AC287" s="1370"/>
      <c r="AD287" s="1370"/>
      <c r="AE287" s="1370"/>
      <c r="AF287" s="1370"/>
      <c r="AG287" s="1636"/>
      <c r="AH287" s="1636"/>
      <c r="AI287" s="1636"/>
      <c r="AJ287" s="1636"/>
      <c r="AK287" s="1636"/>
      <c r="AL287" s="1639">
        <v>0</v>
      </c>
    </row>
    <row s="1854" customFormat="1" customHeight="1" ht="22.5">
      <c r="A288" s="991"/>
      <c r="B288" s="1370"/>
      <c r="C288" s="1646"/>
      <c r="D288" s="687" t="s">
        <v>104</v>
      </c>
      <c r="E288" s="550" t="str">
        <f>E245&amp;".42"</f>
        <v>15.42</v>
      </c>
      <c r="F288" s="544" t="s">
        <v>779</v>
      </c>
      <c r="G288" s="2370" t="s">
        <v>578</v>
      </c>
      <c r="H288" s="549"/>
      <c r="I288" s="549">
        <v>160.01</v>
      </c>
      <c r="J288" s="549"/>
      <c r="K288" s="549"/>
      <c r="L288" s="549"/>
      <c r="M288" s="549"/>
      <c r="N288" s="549"/>
      <c r="O288" s="549"/>
      <c r="P288" s="1529" t="s">
        <v>579</v>
      </c>
      <c r="Q288" s="738"/>
      <c r="R288" s="1646"/>
      <c r="S288" s="1646"/>
      <c r="T288" s="1370"/>
      <c r="U288" s="1370"/>
      <c r="V288" s="1370"/>
      <c r="W288" s="1370"/>
      <c r="X288" s="1646"/>
      <c r="Y288" s="1370"/>
      <c r="Z288" s="1370"/>
      <c r="AA288" s="740"/>
      <c r="AB288" s="1370"/>
      <c r="AC288" s="1370"/>
      <c r="AD288" s="1370"/>
      <c r="AE288" s="1370"/>
      <c r="AF288" s="1370"/>
      <c r="AG288" s="1636"/>
      <c r="AH288" s="1636"/>
      <c r="AI288" s="1636"/>
      <c r="AJ288" s="1636"/>
      <c r="AK288" s="1636"/>
      <c r="AL288" s="1639">
        <v>0</v>
      </c>
    </row>
    <row s="1854" customFormat="1" customHeight="1" ht="22.5">
      <c r="A289" s="991"/>
      <c r="B289" s="1370"/>
      <c r="C289" s="1646"/>
      <c r="D289" s="687" t="s">
        <v>104</v>
      </c>
      <c r="E289" s="550" t="str">
        <f>E245&amp;".43"</f>
        <v>15.43</v>
      </c>
      <c r="F289" s="544" t="s">
        <v>780</v>
      </c>
      <c r="G289" s="2370" t="s">
        <v>578</v>
      </c>
      <c r="H289" s="549"/>
      <c r="I289" s="549">
        <v>158.42</v>
      </c>
      <c r="J289" s="549"/>
      <c r="K289" s="549"/>
      <c r="L289" s="549"/>
      <c r="M289" s="549"/>
      <c r="N289" s="549"/>
      <c r="O289" s="549"/>
      <c r="P289" s="1529" t="s">
        <v>579</v>
      </c>
      <c r="Q289" s="738"/>
      <c r="R289" s="1646"/>
      <c r="S289" s="1646"/>
      <c r="T289" s="1370"/>
      <c r="U289" s="1370"/>
      <c r="V289" s="1370"/>
      <c r="W289" s="1370"/>
      <c r="X289" s="1646"/>
      <c r="Y289" s="1370"/>
      <c r="Z289" s="1370"/>
      <c r="AA289" s="740"/>
      <c r="AB289" s="1370"/>
      <c r="AC289" s="1370"/>
      <c r="AD289" s="1370"/>
      <c r="AE289" s="1370"/>
      <c r="AF289" s="1370"/>
      <c r="AG289" s="1636"/>
      <c r="AH289" s="1636"/>
      <c r="AI289" s="1636"/>
      <c r="AJ289" s="1636"/>
      <c r="AK289" s="1636"/>
      <c r="AL289" s="1639">
        <v>0</v>
      </c>
    </row>
    <row s="1854" customFormat="1" customHeight="1" ht="22.5">
      <c r="A290" s="991"/>
      <c r="B290" s="1370"/>
      <c r="C290" s="1646"/>
      <c r="D290" s="687" t="s">
        <v>104</v>
      </c>
      <c r="E290" s="550" t="str">
        <f>E245&amp;".44"</f>
        <v>15.44</v>
      </c>
      <c r="F290" s="544" t="s">
        <v>781</v>
      </c>
      <c r="G290" s="2370" t="s">
        <v>578</v>
      </c>
      <c r="H290" s="549"/>
      <c r="I290" s="549">
        <v>164.5</v>
      </c>
      <c r="J290" s="549"/>
      <c r="K290" s="549"/>
      <c r="L290" s="549"/>
      <c r="M290" s="549"/>
      <c r="N290" s="549"/>
      <c r="O290" s="549"/>
      <c r="P290" s="1529" t="s">
        <v>579</v>
      </c>
      <c r="Q290" s="738"/>
      <c r="R290" s="1646"/>
      <c r="S290" s="1646"/>
      <c r="T290" s="1370"/>
      <c r="U290" s="1370"/>
      <c r="V290" s="1370"/>
      <c r="W290" s="1370"/>
      <c r="X290" s="1646"/>
      <c r="Y290" s="1370"/>
      <c r="Z290" s="1370"/>
      <c r="AA290" s="740"/>
      <c r="AB290" s="1370"/>
      <c r="AC290" s="1370"/>
      <c r="AD290" s="1370"/>
      <c r="AE290" s="1370"/>
      <c r="AF290" s="1370"/>
      <c r="AG290" s="1636"/>
      <c r="AH290" s="1636"/>
      <c r="AI290" s="1636"/>
      <c r="AJ290" s="1636"/>
      <c r="AK290" s="1636"/>
      <c r="AL290" s="1639">
        <v>0</v>
      </c>
    </row>
    <row s="1854" customFormat="1" customHeight="1" ht="22.5">
      <c r="A291" s="991"/>
      <c r="B291" s="1370"/>
      <c r="C291" s="1646"/>
      <c r="D291" s="687" t="s">
        <v>104</v>
      </c>
      <c r="E291" s="550" t="str">
        <f>E245&amp;".45"</f>
        <v>15.45</v>
      </c>
      <c r="F291" s="544" t="s">
        <v>782</v>
      </c>
      <c r="G291" s="2370" t="s">
        <v>578</v>
      </c>
      <c r="H291" s="549"/>
      <c r="I291" s="549">
        <v>175.54</v>
      </c>
      <c r="J291" s="549"/>
      <c r="K291" s="549"/>
      <c r="L291" s="549"/>
      <c r="M291" s="549"/>
      <c r="N291" s="549"/>
      <c r="O291" s="549"/>
      <c r="P291" s="1529" t="s">
        <v>579</v>
      </c>
      <c r="Q291" s="738"/>
      <c r="R291" s="1646"/>
      <c r="S291" s="1646"/>
      <c r="T291" s="1370"/>
      <c r="U291" s="1370"/>
      <c r="V291" s="1370"/>
      <c r="W291" s="1370"/>
      <c r="X291" s="1646"/>
      <c r="Y291" s="1370"/>
      <c r="Z291" s="1370"/>
      <c r="AA291" s="740"/>
      <c r="AB291" s="1370"/>
      <c r="AC291" s="1370"/>
      <c r="AD291" s="1370"/>
      <c r="AE291" s="1370"/>
      <c r="AF291" s="1370"/>
      <c r="AG291" s="1636"/>
      <c r="AH291" s="1636"/>
      <c r="AI291" s="1636"/>
      <c r="AJ291" s="1636"/>
      <c r="AK291" s="1636"/>
      <c r="AL291" s="1639">
        <v>0</v>
      </c>
    </row>
    <row s="1854" customFormat="1" customHeight="1" ht="22.5">
      <c r="A292" s="991"/>
      <c r="B292" s="1370"/>
      <c r="C292" s="1646"/>
      <c r="D292" s="687" t="s">
        <v>104</v>
      </c>
      <c r="E292" s="550" t="str">
        <f>E245&amp;".46"</f>
        <v>15.46</v>
      </c>
      <c r="F292" s="544" t="s">
        <v>783</v>
      </c>
      <c r="G292" s="2370" t="s">
        <v>578</v>
      </c>
      <c r="H292" s="549"/>
      <c r="I292" s="549">
        <v>163.95</v>
      </c>
      <c r="J292" s="549"/>
      <c r="K292" s="549"/>
      <c r="L292" s="549"/>
      <c r="M292" s="549"/>
      <c r="N292" s="549"/>
      <c r="O292" s="549"/>
      <c r="P292" s="1529" t="s">
        <v>579</v>
      </c>
      <c r="Q292" s="738"/>
      <c r="R292" s="1646"/>
      <c r="S292" s="1646"/>
      <c r="T292" s="1370"/>
      <c r="U292" s="1370"/>
      <c r="V292" s="1370"/>
      <c r="W292" s="1370"/>
      <c r="X292" s="1646"/>
      <c r="Y292" s="1370"/>
      <c r="Z292" s="1370"/>
      <c r="AA292" s="740"/>
      <c r="AB292" s="1370"/>
      <c r="AC292" s="1370"/>
      <c r="AD292" s="1370"/>
      <c r="AE292" s="1370"/>
      <c r="AF292" s="1370"/>
      <c r="AG292" s="1636"/>
      <c r="AH292" s="1636"/>
      <c r="AI292" s="1636"/>
      <c r="AJ292" s="1636"/>
      <c r="AK292" s="1636"/>
      <c r="AL292" s="1639">
        <v>0</v>
      </c>
    </row>
    <row s="1854" customFormat="1" customHeight="1" ht="22.5">
      <c r="A293" s="991"/>
      <c r="B293" s="1370"/>
      <c r="C293" s="1646"/>
      <c r="D293" s="687" t="s">
        <v>104</v>
      </c>
      <c r="E293" s="550" t="str">
        <f>E245&amp;".47"</f>
        <v>15.47</v>
      </c>
      <c r="F293" s="544" t="s">
        <v>784</v>
      </c>
      <c r="G293" s="2370" t="s">
        <v>578</v>
      </c>
      <c r="H293" s="549"/>
      <c r="I293" s="549">
        <v>158.14</v>
      </c>
      <c r="J293" s="549"/>
      <c r="K293" s="549"/>
      <c r="L293" s="549"/>
      <c r="M293" s="549"/>
      <c r="N293" s="549"/>
      <c r="O293" s="549"/>
      <c r="P293" s="1529" t="s">
        <v>579</v>
      </c>
      <c r="Q293" s="738"/>
      <c r="R293" s="1646"/>
      <c r="S293" s="1646"/>
      <c r="T293" s="1370"/>
      <c r="U293" s="1370"/>
      <c r="V293" s="1370"/>
      <c r="W293" s="1370"/>
      <c r="X293" s="1646"/>
      <c r="Y293" s="1370"/>
      <c r="Z293" s="1370"/>
      <c r="AA293" s="740"/>
      <c r="AB293" s="1370"/>
      <c r="AC293" s="1370"/>
      <c r="AD293" s="1370"/>
      <c r="AE293" s="1370"/>
      <c r="AF293" s="1370"/>
      <c r="AG293" s="1636"/>
      <c r="AH293" s="1636"/>
      <c r="AI293" s="1636"/>
      <c r="AJ293" s="1636"/>
      <c r="AK293" s="1636"/>
      <c r="AL293" s="1639">
        <v>0</v>
      </c>
    </row>
    <row s="1854" customFormat="1" customHeight="1" ht="22.5">
      <c r="A294" s="991"/>
      <c r="B294" s="1370"/>
      <c r="C294" s="1646"/>
      <c r="D294" s="687" t="s">
        <v>104</v>
      </c>
      <c r="E294" s="550" t="str">
        <f>E245&amp;".48"</f>
        <v>15.48</v>
      </c>
      <c r="F294" s="544" t="s">
        <v>785</v>
      </c>
      <c r="G294" s="2370" t="s">
        <v>578</v>
      </c>
      <c r="H294" s="549"/>
      <c r="I294" s="549">
        <v>165.34</v>
      </c>
      <c r="J294" s="549"/>
      <c r="K294" s="549"/>
      <c r="L294" s="549"/>
      <c r="M294" s="549"/>
      <c r="N294" s="549"/>
      <c r="O294" s="549"/>
      <c r="P294" s="1529" t="s">
        <v>579</v>
      </c>
      <c r="Q294" s="738"/>
      <c r="R294" s="1646"/>
      <c r="S294" s="1646"/>
      <c r="T294" s="1370"/>
      <c r="U294" s="1370"/>
      <c r="V294" s="1370"/>
      <c r="W294" s="1370"/>
      <c r="X294" s="1646"/>
      <c r="Y294" s="1370"/>
      <c r="Z294" s="1370"/>
      <c r="AA294" s="740"/>
      <c r="AB294" s="1370"/>
      <c r="AC294" s="1370"/>
      <c r="AD294" s="1370"/>
      <c r="AE294" s="1370"/>
      <c r="AF294" s="1370"/>
      <c r="AG294" s="1636"/>
      <c r="AH294" s="1636"/>
      <c r="AI294" s="1636"/>
      <c r="AJ294" s="1636"/>
      <c r="AK294" s="1636"/>
      <c r="AL294" s="1639">
        <v>0</v>
      </c>
    </row>
    <row s="1854" customFormat="1" customHeight="1" ht="22.5">
      <c r="A295" s="991"/>
      <c r="B295" s="1370"/>
      <c r="C295" s="1646"/>
      <c r="D295" s="687" t="s">
        <v>104</v>
      </c>
      <c r="E295" s="550" t="str">
        <f>E245&amp;".49"</f>
        <v>15.49</v>
      </c>
      <c r="F295" s="544" t="s">
        <v>786</v>
      </c>
      <c r="G295" s="2370" t="s">
        <v>578</v>
      </c>
      <c r="H295" s="549"/>
      <c r="I295" s="549">
        <v>159</v>
      </c>
      <c r="J295" s="549"/>
      <c r="K295" s="549"/>
      <c r="L295" s="549"/>
      <c r="M295" s="549"/>
      <c r="N295" s="549"/>
      <c r="O295" s="549"/>
      <c r="P295" s="1529" t="s">
        <v>579</v>
      </c>
      <c r="Q295" s="738"/>
      <c r="R295" s="1646"/>
      <c r="S295" s="1646"/>
      <c r="T295" s="1370"/>
      <c r="U295" s="1370"/>
      <c r="V295" s="1370"/>
      <c r="W295" s="1370"/>
      <c r="X295" s="1646"/>
      <c r="Y295" s="1370"/>
      <c r="Z295" s="1370"/>
      <c r="AA295" s="740"/>
      <c r="AB295" s="1370"/>
      <c r="AC295" s="1370"/>
      <c r="AD295" s="1370"/>
      <c r="AE295" s="1370"/>
      <c r="AF295" s="1370"/>
      <c r="AG295" s="1636"/>
      <c r="AH295" s="1636"/>
      <c r="AI295" s="1636"/>
      <c r="AJ295" s="1636"/>
      <c r="AK295" s="1636"/>
      <c r="AL295" s="1639">
        <v>0</v>
      </c>
    </row>
    <row s="1854" customFormat="1" customHeight="1" ht="22.5">
      <c r="A296" s="991"/>
      <c r="B296" s="1370"/>
      <c r="C296" s="1646"/>
      <c r="D296" s="687" t="s">
        <v>104</v>
      </c>
      <c r="E296" s="550" t="str">
        <f>E245&amp;".50"</f>
        <v>15.50</v>
      </c>
      <c r="F296" s="544" t="s">
        <v>787</v>
      </c>
      <c r="G296" s="2370" t="s">
        <v>578</v>
      </c>
      <c r="H296" s="549"/>
      <c r="I296" s="549">
        <v>164.31</v>
      </c>
      <c r="J296" s="549"/>
      <c r="K296" s="549"/>
      <c r="L296" s="549"/>
      <c r="M296" s="549"/>
      <c r="N296" s="549"/>
      <c r="O296" s="549"/>
      <c r="P296" s="1529" t="s">
        <v>579</v>
      </c>
      <c r="Q296" s="738"/>
      <c r="R296" s="1646"/>
      <c r="S296" s="1646"/>
      <c r="T296" s="1370"/>
      <c r="U296" s="1370"/>
      <c r="V296" s="1370"/>
      <c r="W296" s="1370"/>
      <c r="X296" s="1646"/>
      <c r="Y296" s="1370"/>
      <c r="Z296" s="1370"/>
      <c r="AA296" s="740"/>
      <c r="AB296" s="1370"/>
      <c r="AC296" s="1370"/>
      <c r="AD296" s="1370"/>
      <c r="AE296" s="1370"/>
      <c r="AF296" s="1370"/>
      <c r="AG296" s="1636"/>
      <c r="AH296" s="1636"/>
      <c r="AI296" s="1636"/>
      <c r="AJ296" s="1636"/>
      <c r="AK296" s="1636"/>
      <c r="AL296" s="1639">
        <v>0</v>
      </c>
    </row>
    <row s="1854" customFormat="1" customHeight="1" ht="22.5">
      <c r="A297" s="991"/>
      <c r="B297" s="1370"/>
      <c r="C297" s="1646"/>
      <c r="D297" s="687" t="s">
        <v>104</v>
      </c>
      <c r="E297" s="550" t="str">
        <f>E245&amp;".51"</f>
        <v>15.51</v>
      </c>
      <c r="F297" s="544" t="s">
        <v>788</v>
      </c>
      <c r="G297" s="2370" t="s">
        <v>578</v>
      </c>
      <c r="H297" s="549"/>
      <c r="I297" s="549">
        <v>180.03</v>
      </c>
      <c r="J297" s="549"/>
      <c r="K297" s="549"/>
      <c r="L297" s="549"/>
      <c r="M297" s="549"/>
      <c r="N297" s="549"/>
      <c r="O297" s="549"/>
      <c r="P297" s="1529" t="s">
        <v>579</v>
      </c>
      <c r="Q297" s="738"/>
      <c r="R297" s="1646"/>
      <c r="S297" s="1646"/>
      <c r="T297" s="1370"/>
      <c r="U297" s="1370"/>
      <c r="V297" s="1370"/>
      <c r="W297" s="1370"/>
      <c r="X297" s="1646"/>
      <c r="Y297" s="1370"/>
      <c r="Z297" s="1370"/>
      <c r="AA297" s="740"/>
      <c r="AB297" s="1370"/>
      <c r="AC297" s="1370"/>
      <c r="AD297" s="1370"/>
      <c r="AE297" s="1370"/>
      <c r="AF297" s="1370"/>
      <c r="AG297" s="1636"/>
      <c r="AH297" s="1636"/>
      <c r="AI297" s="1636"/>
      <c r="AJ297" s="1636"/>
      <c r="AK297" s="1636"/>
      <c r="AL297" s="1639">
        <v>0</v>
      </c>
    </row>
    <row s="1854" customFormat="1" customHeight="1" ht="22.5">
      <c r="A298" s="991"/>
      <c r="B298" s="1370"/>
      <c r="C298" s="1646"/>
      <c r="D298" s="687" t="s">
        <v>104</v>
      </c>
      <c r="E298" s="550" t="str">
        <f>E245&amp;".52"</f>
        <v>15.52</v>
      </c>
      <c r="F298" s="544" t="s">
        <v>789</v>
      </c>
      <c r="G298" s="2370" t="s">
        <v>578</v>
      </c>
      <c r="H298" s="549"/>
      <c r="I298" s="549">
        <v>157.56</v>
      </c>
      <c r="J298" s="549"/>
      <c r="K298" s="549"/>
      <c r="L298" s="549"/>
      <c r="M298" s="549"/>
      <c r="N298" s="549"/>
      <c r="O298" s="549"/>
      <c r="P298" s="1529" t="s">
        <v>579</v>
      </c>
      <c r="Q298" s="738"/>
      <c r="R298" s="1646"/>
      <c r="S298" s="1646"/>
      <c r="T298" s="1370"/>
      <c r="U298" s="1370"/>
      <c r="V298" s="1370"/>
      <c r="W298" s="1370"/>
      <c r="X298" s="1646"/>
      <c r="Y298" s="1370"/>
      <c r="Z298" s="1370"/>
      <c r="AA298" s="740"/>
      <c r="AB298" s="1370"/>
      <c r="AC298" s="1370"/>
      <c r="AD298" s="1370"/>
      <c r="AE298" s="1370"/>
      <c r="AF298" s="1370"/>
      <c r="AG298" s="1636"/>
      <c r="AH298" s="1636"/>
      <c r="AI298" s="1636"/>
      <c r="AJ298" s="1636"/>
      <c r="AK298" s="1636"/>
      <c r="AL298" s="1639">
        <v>0</v>
      </c>
    </row>
    <row s="1854" customFormat="1" customHeight="1" ht="22.5">
      <c r="A299" s="991"/>
      <c r="B299" s="1370"/>
      <c r="C299" s="1646"/>
      <c r="D299" s="687" t="s">
        <v>104</v>
      </c>
      <c r="E299" s="550" t="str">
        <f>E245&amp;".53"</f>
        <v>15.53</v>
      </c>
      <c r="F299" s="544" t="s">
        <v>790</v>
      </c>
      <c r="G299" s="2370" t="s">
        <v>578</v>
      </c>
      <c r="H299" s="549"/>
      <c r="I299" s="549">
        <v>159.2</v>
      </c>
      <c r="J299" s="549"/>
      <c r="K299" s="549"/>
      <c r="L299" s="549"/>
      <c r="M299" s="549"/>
      <c r="N299" s="549"/>
      <c r="O299" s="549"/>
      <c r="P299" s="1529" t="s">
        <v>579</v>
      </c>
      <c r="Q299" s="738"/>
      <c r="R299" s="1646"/>
      <c r="S299" s="1646"/>
      <c r="T299" s="1370"/>
      <c r="U299" s="1370"/>
      <c r="V299" s="1370"/>
      <c r="W299" s="1370"/>
      <c r="X299" s="1646"/>
      <c r="Y299" s="1370"/>
      <c r="Z299" s="1370"/>
      <c r="AA299" s="740"/>
      <c r="AB299" s="1370"/>
      <c r="AC299" s="1370"/>
      <c r="AD299" s="1370"/>
      <c r="AE299" s="1370"/>
      <c r="AF299" s="1370"/>
      <c r="AG299" s="1636"/>
      <c r="AH299" s="1636"/>
      <c r="AI299" s="1636"/>
      <c r="AJ299" s="1636"/>
      <c r="AK299" s="1636"/>
      <c r="AL299" s="1639">
        <v>0</v>
      </c>
    </row>
    <row s="1854" customFormat="1" customHeight="1" ht="22.5">
      <c r="A300" s="991"/>
      <c r="B300" s="1370"/>
      <c r="C300" s="1646"/>
      <c r="D300" s="687" t="s">
        <v>104</v>
      </c>
      <c r="E300" s="550" t="str">
        <f>E245&amp;".54"</f>
        <v>15.54</v>
      </c>
      <c r="F300" s="544" t="s">
        <v>791</v>
      </c>
      <c r="G300" s="2370" t="s">
        <v>578</v>
      </c>
      <c r="H300" s="549"/>
      <c r="I300" s="549">
        <v>176.61</v>
      </c>
      <c r="J300" s="549"/>
      <c r="K300" s="549"/>
      <c r="L300" s="549"/>
      <c r="M300" s="549"/>
      <c r="N300" s="549"/>
      <c r="O300" s="549"/>
      <c r="P300" s="1529" t="s">
        <v>579</v>
      </c>
      <c r="Q300" s="738"/>
      <c r="R300" s="1646"/>
      <c r="S300" s="1646"/>
      <c r="T300" s="1370"/>
      <c r="U300" s="1370"/>
      <c r="V300" s="1370"/>
      <c r="W300" s="1370"/>
      <c r="X300" s="1646"/>
      <c r="Y300" s="1370"/>
      <c r="Z300" s="1370"/>
      <c r="AA300" s="740"/>
      <c r="AB300" s="1370"/>
      <c r="AC300" s="1370"/>
      <c r="AD300" s="1370"/>
      <c r="AE300" s="1370"/>
      <c r="AF300" s="1370"/>
      <c r="AG300" s="1636"/>
      <c r="AH300" s="1636"/>
      <c r="AI300" s="1636"/>
      <c r="AJ300" s="1636"/>
      <c r="AK300" s="1636"/>
      <c r="AL300" s="1639">
        <v>0</v>
      </c>
    </row>
    <row s="1854" customFormat="1" customHeight="1" ht="22.5">
      <c r="A301" s="991"/>
      <c r="B301" s="1370"/>
      <c r="C301" s="1646"/>
      <c r="D301" s="687" t="s">
        <v>104</v>
      </c>
      <c r="E301" s="550" t="str">
        <f>E245&amp;".55"</f>
        <v>15.55</v>
      </c>
      <c r="F301" s="544" t="s">
        <v>792</v>
      </c>
      <c r="G301" s="2370" t="s">
        <v>578</v>
      </c>
      <c r="H301" s="549"/>
      <c r="I301" s="549">
        <v>161.8</v>
      </c>
      <c r="J301" s="549"/>
      <c r="K301" s="549"/>
      <c r="L301" s="549"/>
      <c r="M301" s="549"/>
      <c r="N301" s="549"/>
      <c r="O301" s="549"/>
      <c r="P301" s="1529" t="s">
        <v>579</v>
      </c>
      <c r="Q301" s="738"/>
      <c r="R301" s="1646"/>
      <c r="S301" s="1646"/>
      <c r="T301" s="1370"/>
      <c r="U301" s="1370"/>
      <c r="V301" s="1370"/>
      <c r="W301" s="1370"/>
      <c r="X301" s="1646"/>
      <c r="Y301" s="1370"/>
      <c r="Z301" s="1370"/>
      <c r="AA301" s="740"/>
      <c r="AB301" s="1370"/>
      <c r="AC301" s="1370"/>
      <c r="AD301" s="1370"/>
      <c r="AE301" s="1370"/>
      <c r="AF301" s="1370"/>
      <c r="AG301" s="1636"/>
      <c r="AH301" s="1636"/>
      <c r="AI301" s="1636"/>
      <c r="AJ301" s="1636"/>
      <c r="AK301" s="1636"/>
      <c r="AL301" s="1639">
        <v>0</v>
      </c>
    </row>
    <row s="1854" customFormat="1" customHeight="1" ht="22.5">
      <c r="A302" s="991"/>
      <c r="B302" s="1370"/>
      <c r="C302" s="1646"/>
      <c r="D302" s="687" t="s">
        <v>104</v>
      </c>
      <c r="E302" s="550" t="str">
        <f>E245&amp;".56"</f>
        <v>15.56</v>
      </c>
      <c r="F302" s="544" t="s">
        <v>793</v>
      </c>
      <c r="G302" s="2370" t="s">
        <v>578</v>
      </c>
      <c r="H302" s="549"/>
      <c r="I302" s="549">
        <v>208.29</v>
      </c>
      <c r="J302" s="549"/>
      <c r="K302" s="549"/>
      <c r="L302" s="549"/>
      <c r="M302" s="549"/>
      <c r="N302" s="549"/>
      <c r="O302" s="549"/>
      <c r="P302" s="1529" t="s">
        <v>579</v>
      </c>
      <c r="Q302" s="738"/>
      <c r="R302" s="1646"/>
      <c r="S302" s="1646"/>
      <c r="T302" s="1370"/>
      <c r="U302" s="1370"/>
      <c r="V302" s="1370"/>
      <c r="W302" s="1370"/>
      <c r="X302" s="1646"/>
      <c r="Y302" s="1370"/>
      <c r="Z302" s="1370"/>
      <c r="AA302" s="740"/>
      <c r="AB302" s="1370"/>
      <c r="AC302" s="1370"/>
      <c r="AD302" s="1370"/>
      <c r="AE302" s="1370"/>
      <c r="AF302" s="1370"/>
      <c r="AG302" s="1636"/>
      <c r="AH302" s="1636"/>
      <c r="AI302" s="1636"/>
      <c r="AJ302" s="1636"/>
      <c r="AK302" s="1636"/>
      <c r="AL302" s="1639">
        <v>0</v>
      </c>
    </row>
    <row s="1854" customFormat="1" customHeight="1" ht="22.5">
      <c r="A303" s="991"/>
      <c r="B303" s="1370"/>
      <c r="C303" s="1646"/>
      <c r="D303" s="687" t="s">
        <v>104</v>
      </c>
      <c r="E303" s="550" t="str">
        <f>E245&amp;".57"</f>
        <v>15.57</v>
      </c>
      <c r="F303" s="544" t="s">
        <v>794</v>
      </c>
      <c r="G303" s="2370" t="s">
        <v>578</v>
      </c>
      <c r="H303" s="549"/>
      <c r="I303" s="549">
        <v>170.94</v>
      </c>
      <c r="J303" s="549"/>
      <c r="K303" s="549"/>
      <c r="L303" s="549"/>
      <c r="M303" s="549"/>
      <c r="N303" s="549"/>
      <c r="O303" s="549"/>
      <c r="P303" s="1529" t="s">
        <v>579</v>
      </c>
      <c r="Q303" s="738"/>
      <c r="R303" s="1646"/>
      <c r="S303" s="1646"/>
      <c r="T303" s="1370"/>
      <c r="U303" s="1370"/>
      <c r="V303" s="1370"/>
      <c r="W303" s="1370"/>
      <c r="X303" s="1646"/>
      <c r="Y303" s="1370"/>
      <c r="Z303" s="1370"/>
      <c r="AA303" s="740"/>
      <c r="AB303" s="1370"/>
      <c r="AC303" s="1370"/>
      <c r="AD303" s="1370"/>
      <c r="AE303" s="1370"/>
      <c r="AF303" s="1370"/>
      <c r="AG303" s="1636"/>
      <c r="AH303" s="1636"/>
      <c r="AI303" s="1636"/>
      <c r="AJ303" s="1636"/>
      <c r="AK303" s="1636"/>
      <c r="AL303" s="1639">
        <v>0</v>
      </c>
    </row>
    <row s="1854" customFormat="1" customHeight="1" ht="22.5">
      <c r="A304" s="991"/>
      <c r="B304" s="1370"/>
      <c r="C304" s="1646"/>
      <c r="D304" s="687" t="s">
        <v>104</v>
      </c>
      <c r="E304" s="550" t="str">
        <f>E245&amp;".58"</f>
        <v>15.58</v>
      </c>
      <c r="F304" s="544" t="s">
        <v>795</v>
      </c>
      <c r="G304" s="2370" t="s">
        <v>578</v>
      </c>
      <c r="H304" s="549"/>
      <c r="I304" s="549">
        <v>157.26</v>
      </c>
      <c r="J304" s="549"/>
      <c r="K304" s="549"/>
      <c r="L304" s="549"/>
      <c r="M304" s="549"/>
      <c r="N304" s="549"/>
      <c r="O304" s="549"/>
      <c r="P304" s="1529" t="s">
        <v>579</v>
      </c>
      <c r="Q304" s="738"/>
      <c r="R304" s="1646"/>
      <c r="S304" s="1646"/>
      <c r="T304" s="1370"/>
      <c r="U304" s="1370"/>
      <c r="V304" s="1370"/>
      <c r="W304" s="1370"/>
      <c r="X304" s="1646"/>
      <c r="Y304" s="1370"/>
      <c r="Z304" s="1370"/>
      <c r="AA304" s="740"/>
      <c r="AB304" s="1370"/>
      <c r="AC304" s="1370"/>
      <c r="AD304" s="1370"/>
      <c r="AE304" s="1370"/>
      <c r="AF304" s="1370"/>
      <c r="AG304" s="1636"/>
      <c r="AH304" s="1636"/>
      <c r="AI304" s="1636"/>
      <c r="AJ304" s="1636"/>
      <c r="AK304" s="1636"/>
      <c r="AL304" s="1639">
        <v>0</v>
      </c>
    </row>
    <row s="1854" customFormat="1" customHeight="1" ht="22.5">
      <c r="A305" s="991"/>
      <c r="B305" s="1370"/>
      <c r="C305" s="1646"/>
      <c r="D305" s="687" t="s">
        <v>104</v>
      </c>
      <c r="E305" s="550" t="str">
        <f>E245&amp;".59"</f>
        <v>15.59</v>
      </c>
      <c r="F305" s="544" t="s">
        <v>796</v>
      </c>
      <c r="G305" s="2370" t="s">
        <v>578</v>
      </c>
      <c r="H305" s="549"/>
      <c r="I305" s="549">
        <v>159.2</v>
      </c>
      <c r="J305" s="549"/>
      <c r="K305" s="549"/>
      <c r="L305" s="549"/>
      <c r="M305" s="549"/>
      <c r="N305" s="549"/>
      <c r="O305" s="549"/>
      <c r="P305" s="1529" t="s">
        <v>579</v>
      </c>
      <c r="Q305" s="738"/>
      <c r="R305" s="1646"/>
      <c r="S305" s="1646"/>
      <c r="T305" s="1370"/>
      <c r="U305" s="1370"/>
      <c r="V305" s="1370"/>
      <c r="W305" s="1370"/>
      <c r="X305" s="1646"/>
      <c r="Y305" s="1370"/>
      <c r="Z305" s="1370"/>
      <c r="AA305" s="740"/>
      <c r="AB305" s="1370"/>
      <c r="AC305" s="1370"/>
      <c r="AD305" s="1370"/>
      <c r="AE305" s="1370"/>
      <c r="AF305" s="1370"/>
      <c r="AG305" s="1636"/>
      <c r="AH305" s="1636"/>
      <c r="AI305" s="1636"/>
      <c r="AJ305" s="1636"/>
      <c r="AK305" s="1636"/>
      <c r="AL305" s="1639">
        <v>0</v>
      </c>
    </row>
    <row s="1854" customFormat="1" customHeight="1" ht="22.5">
      <c r="A306" s="991"/>
      <c r="B306" s="1370"/>
      <c r="C306" s="1646"/>
      <c r="D306" s="687" t="s">
        <v>104</v>
      </c>
      <c r="E306" s="550" t="str">
        <f>E245&amp;".60"</f>
        <v>15.60</v>
      </c>
      <c r="F306" s="544" t="s">
        <v>797</v>
      </c>
      <c r="G306" s="2370" t="s">
        <v>578</v>
      </c>
      <c r="H306" s="549"/>
      <c r="I306" s="549">
        <v>170.49</v>
      </c>
      <c r="J306" s="549"/>
      <c r="K306" s="549"/>
      <c r="L306" s="549"/>
      <c r="M306" s="549"/>
      <c r="N306" s="549"/>
      <c r="O306" s="549"/>
      <c r="P306" s="1529" t="s">
        <v>579</v>
      </c>
      <c r="Q306" s="738"/>
      <c r="R306" s="1646"/>
      <c r="S306" s="1646"/>
      <c r="T306" s="1370"/>
      <c r="U306" s="1370"/>
      <c r="V306" s="1370"/>
      <c r="W306" s="1370"/>
      <c r="X306" s="1646"/>
      <c r="Y306" s="1370"/>
      <c r="Z306" s="1370"/>
      <c r="AA306" s="740"/>
      <c r="AB306" s="1370"/>
      <c r="AC306" s="1370"/>
      <c r="AD306" s="1370"/>
      <c r="AE306" s="1370"/>
      <c r="AF306" s="1370"/>
      <c r="AG306" s="1636"/>
      <c r="AH306" s="1636"/>
      <c r="AI306" s="1636"/>
      <c r="AJ306" s="1636"/>
      <c r="AK306" s="1636"/>
      <c r="AL306" s="1639">
        <v>0</v>
      </c>
    </row>
    <row s="1854" customFormat="1" customHeight="1" ht="22.5">
      <c r="A307" s="991"/>
      <c r="B307" s="1370"/>
      <c r="C307" s="1646"/>
      <c r="D307" s="687" t="s">
        <v>104</v>
      </c>
      <c r="E307" s="550" t="str">
        <f>E245&amp;".61"</f>
        <v>15.61</v>
      </c>
      <c r="F307" s="544" t="s">
        <v>798</v>
      </c>
      <c r="G307" s="2370" t="s">
        <v>578</v>
      </c>
      <c r="H307" s="549"/>
      <c r="I307" s="549">
        <v>159.37</v>
      </c>
      <c r="J307" s="549"/>
      <c r="K307" s="549"/>
      <c r="L307" s="549"/>
      <c r="M307" s="549"/>
      <c r="N307" s="549"/>
      <c r="O307" s="549"/>
      <c r="P307" s="1529" t="s">
        <v>579</v>
      </c>
      <c r="Q307" s="738"/>
      <c r="R307" s="1646"/>
      <c r="S307" s="1646"/>
      <c r="T307" s="1370"/>
      <c r="U307" s="1370"/>
      <c r="V307" s="1370"/>
      <c r="W307" s="1370"/>
      <c r="X307" s="1646"/>
      <c r="Y307" s="1370"/>
      <c r="Z307" s="1370"/>
      <c r="AA307" s="740"/>
      <c r="AB307" s="1370"/>
      <c r="AC307" s="1370"/>
      <c r="AD307" s="1370"/>
      <c r="AE307" s="1370"/>
      <c r="AF307" s="1370"/>
      <c r="AG307" s="1636"/>
      <c r="AH307" s="1636"/>
      <c r="AI307" s="1636"/>
      <c r="AJ307" s="1636"/>
      <c r="AK307" s="1636"/>
      <c r="AL307" s="1639">
        <v>0</v>
      </c>
    </row>
    <row s="1854" customFormat="1" customHeight="1" ht="22.5">
      <c r="A308" s="991"/>
      <c r="B308" s="1370"/>
      <c r="C308" s="1646"/>
      <c r="D308" s="687" t="s">
        <v>104</v>
      </c>
      <c r="E308" s="550" t="str">
        <f>E245&amp;".62"</f>
        <v>15.62</v>
      </c>
      <c r="F308" s="544" t="s">
        <v>799</v>
      </c>
      <c r="G308" s="2370" t="s">
        <v>578</v>
      </c>
      <c r="H308" s="549"/>
      <c r="I308" s="549">
        <v>160.56</v>
      </c>
      <c r="J308" s="549"/>
      <c r="K308" s="549"/>
      <c r="L308" s="549"/>
      <c r="M308" s="549"/>
      <c r="N308" s="549"/>
      <c r="O308" s="549"/>
      <c r="P308" s="1529" t="s">
        <v>579</v>
      </c>
      <c r="Q308" s="738"/>
      <c r="R308" s="1646"/>
      <c r="S308" s="1646"/>
      <c r="T308" s="1370"/>
      <c r="U308" s="1370"/>
      <c r="V308" s="1370"/>
      <c r="W308" s="1370"/>
      <c r="X308" s="1646"/>
      <c r="Y308" s="1370"/>
      <c r="Z308" s="1370"/>
      <c r="AA308" s="740"/>
      <c r="AB308" s="1370"/>
      <c r="AC308" s="1370"/>
      <c r="AD308" s="1370"/>
      <c r="AE308" s="1370"/>
      <c r="AF308" s="1370"/>
      <c r="AG308" s="1636"/>
      <c r="AH308" s="1636"/>
      <c r="AI308" s="1636"/>
      <c r="AJ308" s="1636"/>
      <c r="AK308" s="1636"/>
      <c r="AL308" s="1639">
        <v>0</v>
      </c>
    </row>
    <row s="1854" customFormat="1" customHeight="1" ht="22.5">
      <c r="A309" s="991"/>
      <c r="B309" s="1370"/>
      <c r="C309" s="1646"/>
      <c r="D309" s="687" t="s">
        <v>104</v>
      </c>
      <c r="E309" s="550" t="str">
        <f>E245&amp;".63"</f>
        <v>15.63</v>
      </c>
      <c r="F309" s="544" t="s">
        <v>800</v>
      </c>
      <c r="G309" s="2370" t="s">
        <v>578</v>
      </c>
      <c r="H309" s="549"/>
      <c r="I309" s="549">
        <v>165.45</v>
      </c>
      <c r="J309" s="549"/>
      <c r="K309" s="549"/>
      <c r="L309" s="549"/>
      <c r="M309" s="549"/>
      <c r="N309" s="549"/>
      <c r="O309" s="549"/>
      <c r="P309" s="1529" t="s">
        <v>579</v>
      </c>
      <c r="Q309" s="738"/>
      <c r="R309" s="1646"/>
      <c r="S309" s="1646"/>
      <c r="T309" s="1370"/>
      <c r="U309" s="1370"/>
      <c r="V309" s="1370"/>
      <c r="W309" s="1370"/>
      <c r="X309" s="1646"/>
      <c r="Y309" s="1370"/>
      <c r="Z309" s="1370"/>
      <c r="AA309" s="740"/>
      <c r="AB309" s="1370"/>
      <c r="AC309" s="1370"/>
      <c r="AD309" s="1370"/>
      <c r="AE309" s="1370"/>
      <c r="AF309" s="1370"/>
      <c r="AG309" s="1636"/>
      <c r="AH309" s="1636"/>
      <c r="AI309" s="1636"/>
      <c r="AJ309" s="1636"/>
      <c r="AK309" s="1636"/>
      <c r="AL309" s="1639">
        <v>0</v>
      </c>
    </row>
    <row s="1854" customFormat="1" customHeight="1" ht="22.5">
      <c r="A310" s="991"/>
      <c r="B310" s="1370"/>
      <c r="C310" s="1646"/>
      <c r="D310" s="687" t="s">
        <v>104</v>
      </c>
      <c r="E310" s="550" t="str">
        <f>E245&amp;".64"</f>
        <v>15.64</v>
      </c>
      <c r="F310" s="544" t="s">
        <v>801</v>
      </c>
      <c r="G310" s="2370" t="s">
        <v>578</v>
      </c>
      <c r="H310" s="549"/>
      <c r="I310" s="549">
        <v>213.58</v>
      </c>
      <c r="J310" s="549"/>
      <c r="K310" s="549"/>
      <c r="L310" s="549"/>
      <c r="M310" s="549"/>
      <c r="N310" s="549"/>
      <c r="O310" s="549"/>
      <c r="P310" s="1529" t="s">
        <v>579</v>
      </c>
      <c r="Q310" s="738"/>
      <c r="R310" s="1646"/>
      <c r="S310" s="1646"/>
      <c r="T310" s="1370"/>
      <c r="U310" s="1370"/>
      <c r="V310" s="1370"/>
      <c r="W310" s="1370"/>
      <c r="X310" s="1646"/>
      <c r="Y310" s="1370"/>
      <c r="Z310" s="1370"/>
      <c r="AA310" s="740"/>
      <c r="AB310" s="1370"/>
      <c r="AC310" s="1370"/>
      <c r="AD310" s="1370"/>
      <c r="AE310" s="1370"/>
      <c r="AF310" s="1370"/>
      <c r="AG310" s="1636"/>
      <c r="AH310" s="1636"/>
      <c r="AI310" s="1636"/>
      <c r="AJ310" s="1636"/>
      <c r="AK310" s="1636"/>
      <c r="AL310" s="1639">
        <v>0</v>
      </c>
    </row>
    <row s="1854" customFormat="1" customHeight="1" ht="22.5">
      <c r="A311" s="991"/>
      <c r="B311" s="1370"/>
      <c r="C311" s="1646"/>
      <c r="D311" s="687" t="s">
        <v>104</v>
      </c>
      <c r="E311" s="550" t="str">
        <f>E245&amp;".65"</f>
        <v>15.65</v>
      </c>
      <c r="F311" s="544" t="s">
        <v>802</v>
      </c>
      <c r="G311" s="2370" t="s">
        <v>578</v>
      </c>
      <c r="H311" s="549"/>
      <c r="I311" s="549">
        <v>158.08</v>
      </c>
      <c r="J311" s="549"/>
      <c r="K311" s="549"/>
      <c r="L311" s="549"/>
      <c r="M311" s="549"/>
      <c r="N311" s="549"/>
      <c r="O311" s="549"/>
      <c r="P311" s="1529" t="s">
        <v>579</v>
      </c>
      <c r="Q311" s="738"/>
      <c r="R311" s="1646"/>
      <c r="S311" s="1646"/>
      <c r="T311" s="1370"/>
      <c r="U311" s="1370"/>
      <c r="V311" s="1370"/>
      <c r="W311" s="1370"/>
      <c r="X311" s="1646"/>
      <c r="Y311" s="1370"/>
      <c r="Z311" s="1370"/>
      <c r="AA311" s="740"/>
      <c r="AB311" s="1370"/>
      <c r="AC311" s="1370"/>
      <c r="AD311" s="1370"/>
      <c r="AE311" s="1370"/>
      <c r="AF311" s="1370"/>
      <c r="AG311" s="1636"/>
      <c r="AH311" s="1636"/>
      <c r="AI311" s="1636"/>
      <c r="AJ311" s="1636"/>
      <c r="AK311" s="1636"/>
      <c r="AL311" s="1639">
        <v>0</v>
      </c>
    </row>
    <row s="1854" customFormat="1" customHeight="1" ht="22.5">
      <c r="A312" s="991"/>
      <c r="B312" s="1370"/>
      <c r="C312" s="1646"/>
      <c r="D312" s="687" t="s">
        <v>104</v>
      </c>
      <c r="E312" s="550" t="str">
        <f>E245&amp;".66"</f>
        <v>15.66</v>
      </c>
      <c r="F312" s="544" t="s">
        <v>803</v>
      </c>
      <c r="G312" s="2370" t="s">
        <v>578</v>
      </c>
      <c r="H312" s="549"/>
      <c r="I312" s="549">
        <v>159.39</v>
      </c>
      <c r="J312" s="549"/>
      <c r="K312" s="549"/>
      <c r="L312" s="549"/>
      <c r="M312" s="549"/>
      <c r="N312" s="549"/>
      <c r="O312" s="549"/>
      <c r="P312" s="1529" t="s">
        <v>579</v>
      </c>
      <c r="Q312" s="738"/>
      <c r="R312" s="1646"/>
      <c r="S312" s="1646"/>
      <c r="T312" s="1370"/>
      <c r="U312" s="1370"/>
      <c r="V312" s="1370"/>
      <c r="W312" s="1370"/>
      <c r="X312" s="1646"/>
      <c r="Y312" s="1370"/>
      <c r="Z312" s="1370"/>
      <c r="AA312" s="740"/>
      <c r="AB312" s="1370"/>
      <c r="AC312" s="1370"/>
      <c r="AD312" s="1370"/>
      <c r="AE312" s="1370"/>
      <c r="AF312" s="1370"/>
      <c r="AG312" s="1636"/>
      <c r="AH312" s="1636"/>
      <c r="AI312" s="1636"/>
      <c r="AJ312" s="1636"/>
      <c r="AK312" s="1636"/>
      <c r="AL312" s="1639">
        <v>0</v>
      </c>
    </row>
    <row s="1854" customFormat="1" customHeight="1" ht="22.5">
      <c r="A313" s="991"/>
      <c r="B313" s="1370"/>
      <c r="C313" s="1646"/>
      <c r="D313" s="687" t="s">
        <v>104</v>
      </c>
      <c r="E313" s="550" t="str">
        <f>E245&amp;".67"</f>
        <v>15.67</v>
      </c>
      <c r="F313" s="544" t="s">
        <v>804</v>
      </c>
      <c r="G313" s="2370" t="s">
        <v>578</v>
      </c>
      <c r="H313" s="549"/>
      <c r="I313" s="549">
        <v>157.25</v>
      </c>
      <c r="J313" s="549"/>
      <c r="K313" s="549"/>
      <c r="L313" s="549"/>
      <c r="M313" s="549"/>
      <c r="N313" s="549"/>
      <c r="O313" s="549"/>
      <c r="P313" s="1529" t="s">
        <v>579</v>
      </c>
      <c r="Q313" s="738"/>
      <c r="R313" s="1646"/>
      <c r="S313" s="1646"/>
      <c r="T313" s="1370"/>
      <c r="U313" s="1370"/>
      <c r="V313" s="1370"/>
      <c r="W313" s="1370"/>
      <c r="X313" s="1646"/>
      <c r="Y313" s="1370"/>
      <c r="Z313" s="1370"/>
      <c r="AA313" s="740"/>
      <c r="AB313" s="1370"/>
      <c r="AC313" s="1370"/>
      <c r="AD313" s="1370"/>
      <c r="AE313" s="1370"/>
      <c r="AF313" s="1370"/>
      <c r="AG313" s="1636"/>
      <c r="AH313" s="1636"/>
      <c r="AI313" s="1636"/>
      <c r="AJ313" s="1636"/>
      <c r="AK313" s="1636"/>
      <c r="AL313" s="1639">
        <v>0</v>
      </c>
    </row>
    <row s="1854" customFormat="1" customHeight="1" ht="22.5">
      <c r="A314" s="991"/>
      <c r="B314" s="1370"/>
      <c r="C314" s="1646"/>
      <c r="D314" s="687" t="s">
        <v>104</v>
      </c>
      <c r="E314" s="550" t="str">
        <f>E245&amp;".68"</f>
        <v>15.68</v>
      </c>
      <c r="F314" s="544" t="s">
        <v>805</v>
      </c>
      <c r="G314" s="2370" t="s">
        <v>578</v>
      </c>
      <c r="H314" s="549"/>
      <c r="I314" s="549">
        <v>158.51</v>
      </c>
      <c r="J314" s="549"/>
      <c r="K314" s="549"/>
      <c r="L314" s="549"/>
      <c r="M314" s="549"/>
      <c r="N314" s="549"/>
      <c r="O314" s="549"/>
      <c r="P314" s="1529" t="s">
        <v>579</v>
      </c>
      <c r="Q314" s="738"/>
      <c r="R314" s="1646"/>
      <c r="S314" s="1646"/>
      <c r="T314" s="1370"/>
      <c r="U314" s="1370"/>
      <c r="V314" s="1370"/>
      <c r="W314" s="1370"/>
      <c r="X314" s="1646"/>
      <c r="Y314" s="1370"/>
      <c r="Z314" s="1370"/>
      <c r="AA314" s="740"/>
      <c r="AB314" s="1370"/>
      <c r="AC314" s="1370"/>
      <c r="AD314" s="1370"/>
      <c r="AE314" s="1370"/>
      <c r="AF314" s="1370"/>
      <c r="AG314" s="1636"/>
      <c r="AH314" s="1636"/>
      <c r="AI314" s="1636"/>
      <c r="AJ314" s="1636"/>
      <c r="AK314" s="1636"/>
      <c r="AL314" s="1639">
        <v>0</v>
      </c>
    </row>
    <row s="1854" customFormat="1" customHeight="1" ht="22.5">
      <c r="A315" s="991"/>
      <c r="B315" s="1370"/>
      <c r="C315" s="1646"/>
      <c r="D315" s="687" t="s">
        <v>104</v>
      </c>
      <c r="E315" s="550" t="str">
        <f>E245&amp;".69"</f>
        <v>15.69</v>
      </c>
      <c r="F315" s="544" t="s">
        <v>806</v>
      </c>
      <c r="G315" s="2370" t="s">
        <v>578</v>
      </c>
      <c r="H315" s="549"/>
      <c r="I315" s="549">
        <v>161.95</v>
      </c>
      <c r="J315" s="549"/>
      <c r="K315" s="549"/>
      <c r="L315" s="549"/>
      <c r="M315" s="549"/>
      <c r="N315" s="549"/>
      <c r="O315" s="549"/>
      <c r="P315" s="1529" t="s">
        <v>579</v>
      </c>
      <c r="Q315" s="738"/>
      <c r="R315" s="1646"/>
      <c r="S315" s="1646"/>
      <c r="T315" s="1370"/>
      <c r="U315" s="1370"/>
      <c r="V315" s="1370"/>
      <c r="W315" s="1370"/>
      <c r="X315" s="1646"/>
      <c r="Y315" s="1370"/>
      <c r="Z315" s="1370"/>
      <c r="AA315" s="740"/>
      <c r="AB315" s="1370"/>
      <c r="AC315" s="1370"/>
      <c r="AD315" s="1370"/>
      <c r="AE315" s="1370"/>
      <c r="AF315" s="1370"/>
      <c r="AG315" s="1636"/>
      <c r="AH315" s="1636"/>
      <c r="AI315" s="1636"/>
      <c r="AJ315" s="1636"/>
      <c r="AK315" s="1636"/>
      <c r="AL315" s="1639">
        <v>0</v>
      </c>
    </row>
    <row s="1854" customFormat="1" customHeight="1" ht="24.75">
      <c r="A316" s="991"/>
      <c r="B316" s="1370"/>
      <c r="C316" s="1646"/>
      <c r="D316" s="687" t="s">
        <v>104</v>
      </c>
      <c r="E316" s="550" t="str">
        <f>E245&amp;".70"</f>
        <v>15.70</v>
      </c>
      <c r="F316" s="544" t="s">
        <v>807</v>
      </c>
      <c r="G316" s="2370" t="s">
        <v>578</v>
      </c>
      <c r="H316" s="549"/>
      <c r="I316" s="549">
        <v>159.94</v>
      </c>
      <c r="J316" s="549"/>
      <c r="K316" s="549"/>
      <c r="L316" s="549"/>
      <c r="M316" s="549"/>
      <c r="N316" s="549"/>
      <c r="O316" s="549"/>
      <c r="P316" s="1529" t="s">
        <v>579</v>
      </c>
      <c r="Q316" s="738"/>
      <c r="R316" s="1646"/>
      <c r="S316" s="1646"/>
      <c r="T316" s="1370"/>
      <c r="U316" s="1370"/>
      <c r="V316" s="1370"/>
      <c r="W316" s="1370"/>
      <c r="X316" s="1646"/>
      <c r="Y316" s="1370"/>
      <c r="Z316" s="1370"/>
      <c r="AA316" s="740"/>
      <c r="AB316" s="1370"/>
      <c r="AC316" s="1370"/>
      <c r="AD316" s="1370"/>
      <c r="AE316" s="1370"/>
      <c r="AF316" s="1370"/>
      <c r="AG316" s="1636"/>
      <c r="AH316" s="1636"/>
      <c r="AI316" s="1636"/>
      <c r="AJ316" s="1636"/>
      <c r="AK316" s="1636"/>
      <c r="AL316" s="1639">
        <v>0</v>
      </c>
    </row>
    <row s="1854" customFormat="1" customHeight="1" ht="22.5">
      <c r="A317" s="991"/>
      <c r="B317" s="1370"/>
      <c r="C317" s="1646"/>
      <c r="D317" s="687" t="s">
        <v>104</v>
      </c>
      <c r="E317" s="550" t="str">
        <f>E245&amp;".71"</f>
        <v>15.71</v>
      </c>
      <c r="F317" s="544" t="s">
        <v>808</v>
      </c>
      <c r="G317" s="2370" t="s">
        <v>578</v>
      </c>
      <c r="H317" s="549"/>
      <c r="I317" s="549">
        <v>160.62</v>
      </c>
      <c r="J317" s="549"/>
      <c r="K317" s="549"/>
      <c r="L317" s="549"/>
      <c r="M317" s="549"/>
      <c r="N317" s="549"/>
      <c r="O317" s="549"/>
      <c r="P317" s="1529" t="s">
        <v>579</v>
      </c>
      <c r="Q317" s="738"/>
      <c r="R317" s="1646"/>
      <c r="S317" s="1646"/>
      <c r="T317" s="1370"/>
      <c r="U317" s="1370"/>
      <c r="V317" s="1370"/>
      <c r="W317" s="1370"/>
      <c r="X317" s="1646"/>
      <c r="Y317" s="1370"/>
      <c r="Z317" s="1370"/>
      <c r="AA317" s="740"/>
      <c r="AB317" s="1370"/>
      <c r="AC317" s="1370"/>
      <c r="AD317" s="1370"/>
      <c r="AE317" s="1370"/>
      <c r="AF317" s="1370"/>
      <c r="AG317" s="1636"/>
      <c r="AH317" s="1636"/>
      <c r="AI317" s="1636"/>
      <c r="AJ317" s="1636"/>
      <c r="AK317" s="1636"/>
      <c r="AL317" s="1639">
        <v>0</v>
      </c>
    </row>
    <row s="1854" customFormat="1" customHeight="1" ht="22.5">
      <c r="A318" s="991"/>
      <c r="B318" s="1370"/>
      <c r="C318" s="1646"/>
      <c r="D318" s="687" t="s">
        <v>104</v>
      </c>
      <c r="E318" s="550" t="str">
        <f>E245&amp;".72"</f>
        <v>15.72</v>
      </c>
      <c r="F318" s="544" t="s">
        <v>809</v>
      </c>
      <c r="G318" s="2370" t="s">
        <v>578</v>
      </c>
      <c r="H318" s="549"/>
      <c r="I318" s="549">
        <v>187.43</v>
      </c>
      <c r="J318" s="549"/>
      <c r="K318" s="549"/>
      <c r="L318" s="549"/>
      <c r="M318" s="549"/>
      <c r="N318" s="549"/>
      <c r="O318" s="549"/>
      <c r="P318" s="1529" t="s">
        <v>579</v>
      </c>
      <c r="Q318" s="738"/>
      <c r="R318" s="1646"/>
      <c r="S318" s="1646"/>
      <c r="T318" s="1370"/>
      <c r="U318" s="1370"/>
      <c r="V318" s="1370"/>
      <c r="W318" s="1370"/>
      <c r="X318" s="1646"/>
      <c r="Y318" s="1370"/>
      <c r="Z318" s="1370"/>
      <c r="AA318" s="740"/>
      <c r="AB318" s="1370"/>
      <c r="AC318" s="1370"/>
      <c r="AD318" s="1370"/>
      <c r="AE318" s="1370"/>
      <c r="AF318" s="1370"/>
      <c r="AG318" s="1636"/>
      <c r="AH318" s="1636"/>
      <c r="AI318" s="1636"/>
      <c r="AJ318" s="1636"/>
      <c r="AK318" s="1636"/>
      <c r="AL318" s="1639">
        <v>0</v>
      </c>
    </row>
    <row s="1854" customFormat="1" customHeight="1" ht="22.5">
      <c r="A319" s="991"/>
      <c r="B319" s="1370"/>
      <c r="C319" s="1646"/>
      <c r="D319" s="687" t="s">
        <v>104</v>
      </c>
      <c r="E319" s="550" t="str">
        <f>E245&amp;".73"</f>
        <v>15.73</v>
      </c>
      <c r="F319" s="544" t="s">
        <v>810</v>
      </c>
      <c r="G319" s="2370" t="s">
        <v>578</v>
      </c>
      <c r="H319" s="549"/>
      <c r="I319" s="549">
        <v>158.1</v>
      </c>
      <c r="J319" s="549"/>
      <c r="K319" s="549"/>
      <c r="L319" s="549"/>
      <c r="M319" s="549"/>
      <c r="N319" s="549"/>
      <c r="O319" s="549"/>
      <c r="P319" s="1529" t="s">
        <v>579</v>
      </c>
      <c r="Q319" s="738"/>
      <c r="R319" s="1646"/>
      <c r="S319" s="1646"/>
      <c r="T319" s="1370"/>
      <c r="U319" s="1370"/>
      <c r="V319" s="1370"/>
      <c r="W319" s="1370"/>
      <c r="X319" s="1646"/>
      <c r="Y319" s="1370"/>
      <c r="Z319" s="1370"/>
      <c r="AA319" s="740"/>
      <c r="AB319" s="1370"/>
      <c r="AC319" s="1370"/>
      <c r="AD319" s="1370"/>
      <c r="AE319" s="1370"/>
      <c r="AF319" s="1370"/>
      <c r="AG319" s="1636"/>
      <c r="AH319" s="1636"/>
      <c r="AI319" s="1636"/>
      <c r="AJ319" s="1636"/>
      <c r="AK319" s="1636"/>
      <c r="AL319" s="1639">
        <v>0</v>
      </c>
    </row>
    <row s="1854" customFormat="1" customHeight="1" ht="22.5">
      <c r="A320" s="991"/>
      <c r="B320" s="1370"/>
      <c r="C320" s="1646"/>
      <c r="D320" s="687" t="s">
        <v>104</v>
      </c>
      <c r="E320" s="550" t="str">
        <f>E245&amp;".74"</f>
        <v>15.74</v>
      </c>
      <c r="F320" s="544" t="s">
        <v>811</v>
      </c>
      <c r="G320" s="2370" t="s">
        <v>578</v>
      </c>
      <c r="H320" s="549"/>
      <c r="I320" s="549">
        <v>163.75</v>
      </c>
      <c r="J320" s="549"/>
      <c r="K320" s="549"/>
      <c r="L320" s="549"/>
      <c r="M320" s="549"/>
      <c r="N320" s="549"/>
      <c r="O320" s="549"/>
      <c r="P320" s="1529" t="s">
        <v>579</v>
      </c>
      <c r="Q320" s="738"/>
      <c r="R320" s="1646"/>
      <c r="S320" s="1646"/>
      <c r="T320" s="1370"/>
      <c r="U320" s="1370"/>
      <c r="V320" s="1370"/>
      <c r="W320" s="1370"/>
      <c r="X320" s="1646"/>
      <c r="Y320" s="1370"/>
      <c r="Z320" s="1370"/>
      <c r="AA320" s="740"/>
      <c r="AB320" s="1370"/>
      <c r="AC320" s="1370"/>
      <c r="AD320" s="1370"/>
      <c r="AE320" s="1370"/>
      <c r="AF320" s="1370"/>
      <c r="AG320" s="1636"/>
      <c r="AH320" s="1636"/>
      <c r="AI320" s="1636"/>
      <c r="AJ320" s="1636"/>
      <c r="AK320" s="1636"/>
      <c r="AL320" s="1639">
        <v>0</v>
      </c>
    </row>
    <row s="1854" customFormat="1" customHeight="1" ht="22.5">
      <c r="A321" s="991"/>
      <c r="B321" s="1370"/>
      <c r="C321" s="1646"/>
      <c r="D321" s="687" t="s">
        <v>104</v>
      </c>
      <c r="E321" s="550" t="str">
        <f>E245&amp;".75"</f>
        <v>15.75</v>
      </c>
      <c r="F321" s="544" t="s">
        <v>812</v>
      </c>
      <c r="G321" s="2370" t="s">
        <v>578</v>
      </c>
      <c r="H321" s="549"/>
      <c r="I321" s="549">
        <v>163.07</v>
      </c>
      <c r="J321" s="549"/>
      <c r="K321" s="549"/>
      <c r="L321" s="549"/>
      <c r="M321" s="549"/>
      <c r="N321" s="549"/>
      <c r="O321" s="549"/>
      <c r="P321" s="1529" t="s">
        <v>579</v>
      </c>
      <c r="Q321" s="738"/>
      <c r="R321" s="1646"/>
      <c r="S321" s="1646"/>
      <c r="T321" s="1370"/>
      <c r="U321" s="1370"/>
      <c r="V321" s="1370"/>
      <c r="W321" s="1370"/>
      <c r="X321" s="1646"/>
      <c r="Y321" s="1370"/>
      <c r="Z321" s="1370"/>
      <c r="AA321" s="740"/>
      <c r="AB321" s="1370"/>
      <c r="AC321" s="1370"/>
      <c r="AD321" s="1370"/>
      <c r="AE321" s="1370"/>
      <c r="AF321" s="1370"/>
      <c r="AG321" s="1636"/>
      <c r="AH321" s="1636"/>
      <c r="AI321" s="1636"/>
      <c r="AJ321" s="1636"/>
      <c r="AK321" s="1636"/>
      <c r="AL321" s="1639">
        <v>0</v>
      </c>
    </row>
    <row s="1854" customFormat="1" customHeight="1" ht="22.5">
      <c r="A322" s="991"/>
      <c r="B322" s="1370"/>
      <c r="C322" s="1646"/>
      <c r="D322" s="687" t="s">
        <v>104</v>
      </c>
      <c r="E322" s="550" t="str">
        <f>E245&amp;".76"</f>
        <v>15.76</v>
      </c>
      <c r="F322" s="544" t="s">
        <v>813</v>
      </c>
      <c r="G322" s="2370" t="s">
        <v>578</v>
      </c>
      <c r="H322" s="549"/>
      <c r="I322" s="549">
        <v>172.79</v>
      </c>
      <c r="J322" s="549"/>
      <c r="K322" s="549"/>
      <c r="L322" s="549"/>
      <c r="M322" s="549"/>
      <c r="N322" s="549"/>
      <c r="O322" s="549"/>
      <c r="P322" s="1529" t="s">
        <v>579</v>
      </c>
      <c r="Q322" s="738"/>
      <c r="R322" s="1646"/>
      <c r="S322" s="1646"/>
      <c r="T322" s="1370"/>
      <c r="U322" s="1370"/>
      <c r="V322" s="1370"/>
      <c r="W322" s="1370"/>
      <c r="X322" s="1646"/>
      <c r="Y322" s="1370"/>
      <c r="Z322" s="1370"/>
      <c r="AA322" s="740"/>
      <c r="AB322" s="1370"/>
      <c r="AC322" s="1370"/>
      <c r="AD322" s="1370"/>
      <c r="AE322" s="1370"/>
      <c r="AF322" s="1370"/>
      <c r="AG322" s="1636"/>
      <c r="AH322" s="1636"/>
      <c r="AI322" s="1636"/>
      <c r="AJ322" s="1636"/>
      <c r="AK322" s="1636"/>
      <c r="AL322" s="1639">
        <v>0</v>
      </c>
    </row>
    <row s="1854" customFormat="1" customHeight="1" ht="22.5">
      <c r="A323" s="991"/>
      <c r="B323" s="1370"/>
      <c r="C323" s="1646"/>
      <c r="D323" s="687" t="s">
        <v>104</v>
      </c>
      <c r="E323" s="550" t="str">
        <f>E245&amp;".77"</f>
        <v>15.77</v>
      </c>
      <c r="F323" s="544" t="s">
        <v>814</v>
      </c>
      <c r="G323" s="2370" t="s">
        <v>578</v>
      </c>
      <c r="H323" s="549"/>
      <c r="I323" s="549">
        <v>159.52</v>
      </c>
      <c r="J323" s="549"/>
      <c r="K323" s="549"/>
      <c r="L323" s="549"/>
      <c r="M323" s="549"/>
      <c r="N323" s="549"/>
      <c r="O323" s="549"/>
      <c r="P323" s="1529" t="s">
        <v>579</v>
      </c>
      <c r="Q323" s="738"/>
      <c r="R323" s="1646"/>
      <c r="S323" s="1646"/>
      <c r="T323" s="1370"/>
      <c r="U323" s="1370"/>
      <c r="V323" s="1370"/>
      <c r="W323" s="1370"/>
      <c r="X323" s="1646"/>
      <c r="Y323" s="1370"/>
      <c r="Z323" s="1370"/>
      <c r="AA323" s="740"/>
      <c r="AB323" s="1370"/>
      <c r="AC323" s="1370"/>
      <c r="AD323" s="1370"/>
      <c r="AE323" s="1370"/>
      <c r="AF323" s="1370"/>
      <c r="AG323" s="1636"/>
      <c r="AH323" s="1636"/>
      <c r="AI323" s="1636"/>
      <c r="AJ323" s="1636"/>
      <c r="AK323" s="1636"/>
      <c r="AL323" s="1639">
        <v>0</v>
      </c>
    </row>
    <row s="1854" customFormat="1" customHeight="1" ht="22.5">
      <c r="A324" s="991"/>
      <c r="B324" s="1370"/>
      <c r="C324" s="1646"/>
      <c r="D324" s="687" t="s">
        <v>104</v>
      </c>
      <c r="E324" s="550" t="str">
        <f>E245&amp;".78"</f>
        <v>15.78</v>
      </c>
      <c r="F324" s="544" t="s">
        <v>815</v>
      </c>
      <c r="G324" s="2370" t="s">
        <v>578</v>
      </c>
      <c r="H324" s="549"/>
      <c r="I324" s="549">
        <v>159.78</v>
      </c>
      <c r="J324" s="549"/>
      <c r="K324" s="549"/>
      <c r="L324" s="549"/>
      <c r="M324" s="549"/>
      <c r="N324" s="549"/>
      <c r="O324" s="549"/>
      <c r="P324" s="1529" t="s">
        <v>579</v>
      </c>
      <c r="Q324" s="738"/>
      <c r="R324" s="1646"/>
      <c r="S324" s="1646"/>
      <c r="T324" s="1370"/>
      <c r="U324" s="1370"/>
      <c r="V324" s="1370"/>
      <c r="W324" s="1370"/>
      <c r="X324" s="1646"/>
      <c r="Y324" s="1370"/>
      <c r="Z324" s="1370"/>
      <c r="AA324" s="740"/>
      <c r="AB324" s="1370"/>
      <c r="AC324" s="1370"/>
      <c r="AD324" s="1370"/>
      <c r="AE324" s="1370"/>
      <c r="AF324" s="1370"/>
      <c r="AG324" s="1636"/>
      <c r="AH324" s="1636"/>
      <c r="AI324" s="1636"/>
      <c r="AJ324" s="1636"/>
      <c r="AK324" s="1636"/>
      <c r="AL324" s="1639">
        <v>0</v>
      </c>
    </row>
    <row s="1854" customFormat="1" customHeight="1" ht="22.5">
      <c r="A325" s="991"/>
      <c r="B325" s="1370"/>
      <c r="C325" s="1646"/>
      <c r="D325" s="687" t="s">
        <v>104</v>
      </c>
      <c r="E325" s="550" t="str">
        <f>E245&amp;".79"</f>
        <v>15.79</v>
      </c>
      <c r="F325" s="544" t="s">
        <v>816</v>
      </c>
      <c r="G325" s="2370" t="s">
        <v>578</v>
      </c>
      <c r="H325" s="549"/>
      <c r="I325" s="549">
        <v>160.37</v>
      </c>
      <c r="J325" s="549"/>
      <c r="K325" s="549"/>
      <c r="L325" s="549"/>
      <c r="M325" s="549"/>
      <c r="N325" s="549"/>
      <c r="O325" s="549"/>
      <c r="P325" s="1529" t="s">
        <v>579</v>
      </c>
      <c r="Q325" s="738"/>
      <c r="R325" s="1646"/>
      <c r="S325" s="1646"/>
      <c r="T325" s="1370"/>
      <c r="U325" s="1370"/>
      <c r="V325" s="1370"/>
      <c r="W325" s="1370"/>
      <c r="X325" s="1646"/>
      <c r="Y325" s="1370"/>
      <c r="Z325" s="1370"/>
      <c r="AA325" s="740"/>
      <c r="AB325" s="1370"/>
      <c r="AC325" s="1370"/>
      <c r="AD325" s="1370"/>
      <c r="AE325" s="1370"/>
      <c r="AF325" s="1370"/>
      <c r="AG325" s="1636"/>
      <c r="AH325" s="1636"/>
      <c r="AI325" s="1636"/>
      <c r="AJ325" s="1636"/>
      <c r="AK325" s="1636"/>
      <c r="AL325" s="1639">
        <v>0</v>
      </c>
    </row>
    <row s="1854" customFormat="1" customHeight="1" ht="22.5">
      <c r="A326" s="991"/>
      <c r="B326" s="1370"/>
      <c r="C326" s="1646"/>
      <c r="D326" s="687" t="s">
        <v>104</v>
      </c>
      <c r="E326" s="550" t="str">
        <f>E245&amp;".80"</f>
        <v>15.80</v>
      </c>
      <c r="F326" s="544" t="s">
        <v>817</v>
      </c>
      <c r="G326" s="2370" t="s">
        <v>578</v>
      </c>
      <c r="H326" s="549"/>
      <c r="I326" s="549">
        <v>160.61</v>
      </c>
      <c r="J326" s="549"/>
      <c r="K326" s="549"/>
      <c r="L326" s="549"/>
      <c r="M326" s="549"/>
      <c r="N326" s="549"/>
      <c r="O326" s="549"/>
      <c r="P326" s="1529" t="s">
        <v>579</v>
      </c>
      <c r="Q326" s="738"/>
      <c r="R326" s="1646"/>
      <c r="S326" s="1646"/>
      <c r="T326" s="1370"/>
      <c r="U326" s="1370"/>
      <c r="V326" s="1370"/>
      <c r="W326" s="1370"/>
      <c r="X326" s="1646"/>
      <c r="Y326" s="1370"/>
      <c r="Z326" s="1370"/>
      <c r="AA326" s="740"/>
      <c r="AB326" s="1370"/>
      <c r="AC326" s="1370"/>
      <c r="AD326" s="1370"/>
      <c r="AE326" s="1370"/>
      <c r="AF326" s="1370"/>
      <c r="AG326" s="1636"/>
      <c r="AH326" s="1636"/>
      <c r="AI326" s="1636"/>
      <c r="AJ326" s="1636"/>
      <c r="AK326" s="1636"/>
      <c r="AL326" s="1639">
        <v>0</v>
      </c>
    </row>
    <row s="1854" customFormat="1" customHeight="1" ht="22.5">
      <c r="A327" s="991"/>
      <c r="B327" s="1370"/>
      <c r="C327" s="1646"/>
      <c r="D327" s="687" t="s">
        <v>104</v>
      </c>
      <c r="E327" s="550" t="str">
        <f>E245&amp;".81"</f>
        <v>15.81</v>
      </c>
      <c r="F327" s="544" t="s">
        <v>818</v>
      </c>
      <c r="G327" s="2370" t="s">
        <v>578</v>
      </c>
      <c r="H327" s="549"/>
      <c r="I327" s="549">
        <v>158.13</v>
      </c>
      <c r="J327" s="549"/>
      <c r="K327" s="549"/>
      <c r="L327" s="549"/>
      <c r="M327" s="549"/>
      <c r="N327" s="549"/>
      <c r="O327" s="549"/>
      <c r="P327" s="1529" t="s">
        <v>579</v>
      </c>
      <c r="Q327" s="738"/>
      <c r="R327" s="1646"/>
      <c r="S327" s="1646"/>
      <c r="T327" s="1370"/>
      <c r="U327" s="1370"/>
      <c r="V327" s="1370"/>
      <c r="W327" s="1370"/>
      <c r="X327" s="1646"/>
      <c r="Y327" s="1370"/>
      <c r="Z327" s="1370"/>
      <c r="AA327" s="740"/>
      <c r="AB327" s="1370"/>
      <c r="AC327" s="1370"/>
      <c r="AD327" s="1370"/>
      <c r="AE327" s="1370"/>
      <c r="AF327" s="1370"/>
      <c r="AG327" s="1636"/>
      <c r="AH327" s="1636"/>
      <c r="AI327" s="1636"/>
      <c r="AJ327" s="1636"/>
      <c r="AK327" s="1636"/>
      <c r="AL327" s="1639">
        <v>0</v>
      </c>
    </row>
    <row s="1854" customFormat="1" customHeight="1" ht="22.5">
      <c r="A328" s="991"/>
      <c r="B328" s="1370"/>
      <c r="C328" s="1646"/>
      <c r="D328" s="687" t="s">
        <v>104</v>
      </c>
      <c r="E328" s="550" t="str">
        <f>E245&amp;".82"</f>
        <v>15.82</v>
      </c>
      <c r="F328" s="544" t="s">
        <v>819</v>
      </c>
      <c r="G328" s="2370" t="s">
        <v>578</v>
      </c>
      <c r="H328" s="549"/>
      <c r="I328" s="549">
        <v>159.17</v>
      </c>
      <c r="J328" s="549"/>
      <c r="K328" s="549"/>
      <c r="L328" s="549"/>
      <c r="M328" s="549"/>
      <c r="N328" s="549"/>
      <c r="O328" s="549"/>
      <c r="P328" s="1529" t="s">
        <v>579</v>
      </c>
      <c r="Q328" s="738"/>
      <c r="R328" s="1646"/>
      <c r="S328" s="1646"/>
      <c r="T328" s="1370"/>
      <c r="U328" s="1370"/>
      <c r="V328" s="1370"/>
      <c r="W328" s="1370"/>
      <c r="X328" s="1646"/>
      <c r="Y328" s="1370"/>
      <c r="Z328" s="1370"/>
      <c r="AA328" s="740"/>
      <c r="AB328" s="1370"/>
      <c r="AC328" s="1370"/>
      <c r="AD328" s="1370"/>
      <c r="AE328" s="1370"/>
      <c r="AF328" s="1370"/>
      <c r="AG328" s="1636"/>
      <c r="AH328" s="1636"/>
      <c r="AI328" s="1636"/>
      <c r="AJ328" s="1636"/>
      <c r="AK328" s="1636"/>
      <c r="AL328" s="1639">
        <v>0</v>
      </c>
    </row>
    <row s="1854" customFormat="1" customHeight="1" ht="22.5">
      <c r="A329" s="991"/>
      <c r="B329" s="1370"/>
      <c r="C329" s="1646"/>
      <c r="D329" s="687" t="s">
        <v>104</v>
      </c>
      <c r="E329" s="550" t="str">
        <f>E245&amp;".83"</f>
        <v>15.83</v>
      </c>
      <c r="F329" s="544" t="s">
        <v>820</v>
      </c>
      <c r="G329" s="2370" t="s">
        <v>578</v>
      </c>
      <c r="H329" s="549"/>
      <c r="I329" s="549">
        <v>158.87</v>
      </c>
      <c r="J329" s="549"/>
      <c r="K329" s="549"/>
      <c r="L329" s="549"/>
      <c r="M329" s="549"/>
      <c r="N329" s="549"/>
      <c r="O329" s="549"/>
      <c r="P329" s="1529" t="s">
        <v>579</v>
      </c>
      <c r="Q329" s="738"/>
      <c r="R329" s="1646"/>
      <c r="S329" s="1646"/>
      <c r="T329" s="1370"/>
      <c r="U329" s="1370"/>
      <c r="V329" s="1370"/>
      <c r="W329" s="1370"/>
      <c r="X329" s="1646"/>
      <c r="Y329" s="1370"/>
      <c r="Z329" s="1370"/>
      <c r="AA329" s="740"/>
      <c r="AB329" s="1370"/>
      <c r="AC329" s="1370"/>
      <c r="AD329" s="1370"/>
      <c r="AE329" s="1370"/>
      <c r="AF329" s="1370"/>
      <c r="AG329" s="1636"/>
      <c r="AH329" s="1636"/>
      <c r="AI329" s="1636"/>
      <c r="AJ329" s="1636"/>
      <c r="AK329" s="1636"/>
      <c r="AL329" s="1639">
        <v>0</v>
      </c>
    </row>
    <row s="1854" customFormat="1" customHeight="1" ht="22.5">
      <c r="A330" s="991"/>
      <c r="B330" s="1370"/>
      <c r="C330" s="1646"/>
      <c r="D330" s="687" t="s">
        <v>104</v>
      </c>
      <c r="E330" s="550" t="str">
        <f>E245&amp;".84"</f>
        <v>15.84</v>
      </c>
      <c r="F330" s="544" t="s">
        <v>821</v>
      </c>
      <c r="G330" s="2370" t="s">
        <v>578</v>
      </c>
      <c r="H330" s="549"/>
      <c r="I330" s="549">
        <v>161.99</v>
      </c>
      <c r="J330" s="549"/>
      <c r="K330" s="549"/>
      <c r="L330" s="549"/>
      <c r="M330" s="549"/>
      <c r="N330" s="549"/>
      <c r="O330" s="549"/>
      <c r="P330" s="1529" t="s">
        <v>579</v>
      </c>
      <c r="Q330" s="738"/>
      <c r="R330" s="1646"/>
      <c r="S330" s="1646"/>
      <c r="T330" s="1370"/>
      <c r="U330" s="1370"/>
      <c r="V330" s="1370"/>
      <c r="W330" s="1370"/>
      <c r="X330" s="1646"/>
      <c r="Y330" s="1370"/>
      <c r="Z330" s="1370"/>
      <c r="AA330" s="740"/>
      <c r="AB330" s="1370"/>
      <c r="AC330" s="1370"/>
      <c r="AD330" s="1370"/>
      <c r="AE330" s="1370"/>
      <c r="AF330" s="1370"/>
      <c r="AG330" s="1636"/>
      <c r="AH330" s="1636"/>
      <c r="AI330" s="1636"/>
      <c r="AJ330" s="1636"/>
      <c r="AK330" s="1636"/>
      <c r="AL330" s="1639">
        <v>0</v>
      </c>
    </row>
    <row s="1854" customFormat="1" customHeight="1" ht="22.5">
      <c r="A331" s="991"/>
      <c r="B331" s="1370"/>
      <c r="C331" s="1646"/>
      <c r="D331" s="687" t="s">
        <v>104</v>
      </c>
      <c r="E331" s="550" t="str">
        <f>E245&amp;".85"</f>
        <v>15.85</v>
      </c>
      <c r="F331" s="544" t="s">
        <v>822</v>
      </c>
      <c r="G331" s="2370" t="s">
        <v>578</v>
      </c>
      <c r="H331" s="549"/>
      <c r="I331" s="549">
        <v>161.33</v>
      </c>
      <c r="J331" s="549"/>
      <c r="K331" s="549"/>
      <c r="L331" s="549"/>
      <c r="M331" s="549"/>
      <c r="N331" s="549"/>
      <c r="O331" s="549"/>
      <c r="P331" s="1529" t="s">
        <v>579</v>
      </c>
      <c r="Q331" s="738"/>
      <c r="R331" s="1646"/>
      <c r="S331" s="1646"/>
      <c r="T331" s="1370"/>
      <c r="U331" s="1370"/>
      <c r="V331" s="1370"/>
      <c r="W331" s="1370"/>
      <c r="X331" s="1646"/>
      <c r="Y331" s="1370"/>
      <c r="Z331" s="1370"/>
      <c r="AA331" s="740"/>
      <c r="AB331" s="1370"/>
      <c r="AC331" s="1370"/>
      <c r="AD331" s="1370"/>
      <c r="AE331" s="1370"/>
      <c r="AF331" s="1370"/>
      <c r="AG331" s="1636"/>
      <c r="AH331" s="1636"/>
      <c r="AI331" s="1636"/>
      <c r="AJ331" s="1636"/>
      <c r="AK331" s="1636"/>
      <c r="AL331" s="1639">
        <v>0</v>
      </c>
    </row>
    <row s="1854" customFormat="1" customHeight="1" ht="22.5">
      <c r="A332" s="991"/>
      <c r="B332" s="1370"/>
      <c r="C332" s="1646"/>
      <c r="D332" s="687" t="s">
        <v>104</v>
      </c>
      <c r="E332" s="550" t="str">
        <f>E245&amp;".86"</f>
        <v>15.86</v>
      </c>
      <c r="F332" s="544" t="s">
        <v>823</v>
      </c>
      <c r="G332" s="2370" t="s">
        <v>578</v>
      </c>
      <c r="H332" s="549"/>
      <c r="I332" s="549">
        <v>160.52</v>
      </c>
      <c r="J332" s="549"/>
      <c r="K332" s="549"/>
      <c r="L332" s="549"/>
      <c r="M332" s="549"/>
      <c r="N332" s="549"/>
      <c r="O332" s="549"/>
      <c r="P332" s="1529" t="s">
        <v>579</v>
      </c>
      <c r="Q332" s="738"/>
      <c r="R332" s="1646"/>
      <c r="S332" s="1646"/>
      <c r="T332" s="1370"/>
      <c r="U332" s="1370"/>
      <c r="V332" s="1370"/>
      <c r="W332" s="1370"/>
      <c r="X332" s="1646"/>
      <c r="Y332" s="1370"/>
      <c r="Z332" s="1370"/>
      <c r="AA332" s="740"/>
      <c r="AB332" s="1370"/>
      <c r="AC332" s="1370"/>
      <c r="AD332" s="1370"/>
      <c r="AE332" s="1370"/>
      <c r="AF332" s="1370"/>
      <c r="AG332" s="1636"/>
      <c r="AH332" s="1636"/>
      <c r="AI332" s="1636"/>
      <c r="AJ332" s="1636"/>
      <c r="AK332" s="1636"/>
      <c r="AL332" s="1639">
        <v>0</v>
      </c>
    </row>
    <row s="1854" customFormat="1" customHeight="1" ht="22.5">
      <c r="A333" s="991"/>
      <c r="B333" s="1370"/>
      <c r="C333" s="1646"/>
      <c r="D333" s="687" t="s">
        <v>104</v>
      </c>
      <c r="E333" s="550" t="str">
        <f>E245&amp;".87"</f>
        <v>15.87</v>
      </c>
      <c r="F333" s="544" t="s">
        <v>824</v>
      </c>
      <c r="G333" s="2370" t="s">
        <v>578</v>
      </c>
      <c r="H333" s="549"/>
      <c r="I333" s="549">
        <v>158.37</v>
      </c>
      <c r="J333" s="549"/>
      <c r="K333" s="549"/>
      <c r="L333" s="549"/>
      <c r="M333" s="549"/>
      <c r="N333" s="549"/>
      <c r="O333" s="549"/>
      <c r="P333" s="1529" t="s">
        <v>579</v>
      </c>
      <c r="Q333" s="738"/>
      <c r="R333" s="1646"/>
      <c r="S333" s="1646"/>
      <c r="T333" s="1370"/>
      <c r="U333" s="1370"/>
      <c r="V333" s="1370"/>
      <c r="W333" s="1370"/>
      <c r="X333" s="1646"/>
      <c r="Y333" s="1370"/>
      <c r="Z333" s="1370"/>
      <c r="AA333" s="740"/>
      <c r="AB333" s="1370"/>
      <c r="AC333" s="1370"/>
      <c r="AD333" s="1370"/>
      <c r="AE333" s="1370"/>
      <c r="AF333" s="1370"/>
      <c r="AG333" s="1636"/>
      <c r="AH333" s="1636"/>
      <c r="AI333" s="1636"/>
      <c r="AJ333" s="1636"/>
      <c r="AK333" s="1636"/>
      <c r="AL333" s="1639">
        <v>0</v>
      </c>
    </row>
    <row s="1854" customFormat="1" customHeight="1" ht="22.5">
      <c r="A334" s="991"/>
      <c r="B334" s="1370"/>
      <c r="C334" s="1646"/>
      <c r="D334" s="687" t="s">
        <v>104</v>
      </c>
      <c r="E334" s="550" t="str">
        <f>E245&amp;".88"</f>
        <v>15.88</v>
      </c>
      <c r="F334" s="544" t="s">
        <v>825</v>
      </c>
      <c r="G334" s="2370" t="s">
        <v>578</v>
      </c>
      <c r="H334" s="549"/>
      <c r="I334" s="549">
        <v>158.14</v>
      </c>
      <c r="J334" s="549"/>
      <c r="K334" s="549"/>
      <c r="L334" s="549"/>
      <c r="M334" s="549"/>
      <c r="N334" s="549"/>
      <c r="O334" s="549"/>
      <c r="P334" s="1529" t="s">
        <v>579</v>
      </c>
      <c r="Q334" s="738"/>
      <c r="R334" s="1646"/>
      <c r="S334" s="1646"/>
      <c r="T334" s="1370"/>
      <c r="U334" s="1370"/>
      <c r="V334" s="1370"/>
      <c r="W334" s="1370"/>
      <c r="X334" s="1646"/>
      <c r="Y334" s="1370"/>
      <c r="Z334" s="1370"/>
      <c r="AA334" s="740"/>
      <c r="AB334" s="1370"/>
      <c r="AC334" s="1370"/>
      <c r="AD334" s="1370"/>
      <c r="AE334" s="1370"/>
      <c r="AF334" s="1370"/>
      <c r="AG334" s="1636"/>
      <c r="AH334" s="1636"/>
      <c r="AI334" s="1636"/>
      <c r="AJ334" s="1636"/>
      <c r="AK334" s="1636"/>
      <c r="AL334" s="1639">
        <v>0</v>
      </c>
    </row>
    <row s="1854" customFormat="1" customHeight="1" ht="22.5">
      <c r="A335" s="991"/>
      <c r="B335" s="1370"/>
      <c r="C335" s="1646"/>
      <c r="D335" s="687" t="s">
        <v>104</v>
      </c>
      <c r="E335" s="550" t="str">
        <f>E245&amp;".89"</f>
        <v>15.89</v>
      </c>
      <c r="F335" s="544" t="s">
        <v>826</v>
      </c>
      <c r="G335" s="2370" t="s">
        <v>578</v>
      </c>
      <c r="H335" s="549"/>
      <c r="I335" s="549">
        <v>159.17</v>
      </c>
      <c r="J335" s="549"/>
      <c r="K335" s="549"/>
      <c r="L335" s="549"/>
      <c r="M335" s="549"/>
      <c r="N335" s="549"/>
      <c r="O335" s="549"/>
      <c r="P335" s="1529" t="s">
        <v>579</v>
      </c>
      <c r="Q335" s="738"/>
      <c r="R335" s="1646"/>
      <c r="S335" s="1646"/>
      <c r="T335" s="1370"/>
      <c r="U335" s="1370"/>
      <c r="V335" s="1370"/>
      <c r="W335" s="1370"/>
      <c r="X335" s="1646"/>
      <c r="Y335" s="1370"/>
      <c r="Z335" s="1370"/>
      <c r="AA335" s="740"/>
      <c r="AB335" s="1370"/>
      <c r="AC335" s="1370"/>
      <c r="AD335" s="1370"/>
      <c r="AE335" s="1370"/>
      <c r="AF335" s="1370"/>
      <c r="AG335" s="1636"/>
      <c r="AH335" s="1636"/>
      <c r="AI335" s="1636"/>
      <c r="AJ335" s="1636"/>
      <c r="AK335" s="1636"/>
      <c r="AL335" s="1639">
        <v>0</v>
      </c>
    </row>
    <row s="1854" customFormat="1" customHeight="1" ht="22.5">
      <c r="A336" s="991"/>
      <c r="B336" s="1370"/>
      <c r="C336" s="1646"/>
      <c r="D336" s="687" t="s">
        <v>104</v>
      </c>
      <c r="E336" s="550" t="str">
        <f>E245&amp;".90"</f>
        <v>15.90</v>
      </c>
      <c r="F336" s="544" t="s">
        <v>827</v>
      </c>
      <c r="G336" s="2370" t="s">
        <v>578</v>
      </c>
      <c r="H336" s="549"/>
      <c r="I336" s="549">
        <v>159.86</v>
      </c>
      <c r="J336" s="549"/>
      <c r="K336" s="549"/>
      <c r="L336" s="549"/>
      <c r="M336" s="549"/>
      <c r="N336" s="549"/>
      <c r="O336" s="549"/>
      <c r="P336" s="1529" t="s">
        <v>579</v>
      </c>
      <c r="Q336" s="738"/>
      <c r="R336" s="1646"/>
      <c r="S336" s="1646"/>
      <c r="T336" s="1370"/>
      <c r="U336" s="1370"/>
      <c r="V336" s="1370"/>
      <c r="W336" s="1370"/>
      <c r="X336" s="1646"/>
      <c r="Y336" s="1370"/>
      <c r="Z336" s="1370"/>
      <c r="AA336" s="740"/>
      <c r="AB336" s="1370"/>
      <c r="AC336" s="1370"/>
      <c r="AD336" s="1370"/>
      <c r="AE336" s="1370"/>
      <c r="AF336" s="1370"/>
      <c r="AG336" s="1636"/>
      <c r="AH336" s="1636"/>
      <c r="AI336" s="1636"/>
      <c r="AJ336" s="1636"/>
      <c r="AK336" s="1636"/>
      <c r="AL336" s="1639">
        <v>0</v>
      </c>
    </row>
    <row s="1854" customFormat="1" customHeight="1" ht="22.5">
      <c r="A337" s="991"/>
      <c r="B337" s="1370"/>
      <c r="C337" s="1646"/>
      <c r="D337" s="687" t="s">
        <v>104</v>
      </c>
      <c r="E337" s="550" t="str">
        <f>E245&amp;".91"</f>
        <v>15.91</v>
      </c>
      <c r="F337" s="544" t="s">
        <v>828</v>
      </c>
      <c r="G337" s="2370" t="s">
        <v>578</v>
      </c>
      <c r="H337" s="549"/>
      <c r="I337" s="549">
        <v>160.43</v>
      </c>
      <c r="J337" s="549"/>
      <c r="K337" s="549"/>
      <c r="L337" s="549"/>
      <c r="M337" s="549"/>
      <c r="N337" s="549"/>
      <c r="O337" s="549"/>
      <c r="P337" s="1529" t="s">
        <v>579</v>
      </c>
      <c r="Q337" s="738"/>
      <c r="R337" s="1646"/>
      <c r="S337" s="1646"/>
      <c r="T337" s="1370"/>
      <c r="U337" s="1370"/>
      <c r="V337" s="1370"/>
      <c r="W337" s="1370"/>
      <c r="X337" s="1646"/>
      <c r="Y337" s="1370"/>
      <c r="Z337" s="1370"/>
      <c r="AA337" s="740"/>
      <c r="AB337" s="1370"/>
      <c r="AC337" s="1370"/>
      <c r="AD337" s="1370"/>
      <c r="AE337" s="1370"/>
      <c r="AF337" s="1370"/>
      <c r="AG337" s="1636"/>
      <c r="AH337" s="1636"/>
      <c r="AI337" s="1636"/>
      <c r="AJ337" s="1636"/>
      <c r="AK337" s="1636"/>
      <c r="AL337" s="1639">
        <v>0</v>
      </c>
    </row>
    <row s="1854" customFormat="1" customHeight="1" ht="22.5">
      <c r="A338" s="991"/>
      <c r="B338" s="1370"/>
      <c r="C338" s="1646"/>
      <c r="D338" s="687" t="s">
        <v>104</v>
      </c>
      <c r="E338" s="550" t="str">
        <f>E245&amp;".92"</f>
        <v>15.92</v>
      </c>
      <c r="F338" s="544" t="s">
        <v>829</v>
      </c>
      <c r="G338" s="2370" t="s">
        <v>578</v>
      </c>
      <c r="H338" s="549"/>
      <c r="I338" s="549">
        <v>158.35</v>
      </c>
      <c r="J338" s="549"/>
      <c r="K338" s="549"/>
      <c r="L338" s="549"/>
      <c r="M338" s="549"/>
      <c r="N338" s="549"/>
      <c r="O338" s="549"/>
      <c r="P338" s="1529" t="s">
        <v>579</v>
      </c>
      <c r="Q338" s="738"/>
      <c r="R338" s="1646"/>
      <c r="S338" s="1646"/>
      <c r="T338" s="1370"/>
      <c r="U338" s="1370"/>
      <c r="V338" s="1370"/>
      <c r="W338" s="1370"/>
      <c r="X338" s="1646"/>
      <c r="Y338" s="1370"/>
      <c r="Z338" s="1370"/>
      <c r="AA338" s="740"/>
      <c r="AB338" s="1370"/>
      <c r="AC338" s="1370"/>
      <c r="AD338" s="1370"/>
      <c r="AE338" s="1370"/>
      <c r="AF338" s="1370"/>
      <c r="AG338" s="1636"/>
      <c r="AH338" s="1636"/>
      <c r="AI338" s="1636"/>
      <c r="AJ338" s="1636"/>
      <c r="AK338" s="1636"/>
      <c r="AL338" s="1639">
        <v>0</v>
      </c>
    </row>
    <row s="1854" customFormat="1" customHeight="1" ht="22.5">
      <c r="A339" s="991"/>
      <c r="B339" s="1370"/>
      <c r="C339" s="1646"/>
      <c r="D339" s="687" t="s">
        <v>104</v>
      </c>
      <c r="E339" s="550" t="str">
        <f>E245&amp;".93"</f>
        <v>15.93</v>
      </c>
      <c r="F339" s="544" t="s">
        <v>830</v>
      </c>
      <c r="G339" s="2370" t="s">
        <v>578</v>
      </c>
      <c r="H339" s="549"/>
      <c r="I339" s="549">
        <v>162.84</v>
      </c>
      <c r="J339" s="549"/>
      <c r="K339" s="549"/>
      <c r="L339" s="549"/>
      <c r="M339" s="549"/>
      <c r="N339" s="549"/>
      <c r="O339" s="549"/>
      <c r="P339" s="1529" t="s">
        <v>579</v>
      </c>
      <c r="Q339" s="738"/>
      <c r="R339" s="1646"/>
      <c r="S339" s="1646"/>
      <c r="T339" s="1370"/>
      <c r="U339" s="1370"/>
      <c r="V339" s="1370"/>
      <c r="W339" s="1370"/>
      <c r="X339" s="1646"/>
      <c r="Y339" s="1370"/>
      <c r="Z339" s="1370"/>
      <c r="AA339" s="740"/>
      <c r="AB339" s="1370"/>
      <c r="AC339" s="1370"/>
      <c r="AD339" s="1370"/>
      <c r="AE339" s="1370"/>
      <c r="AF339" s="1370"/>
      <c r="AG339" s="1636"/>
      <c r="AH339" s="1636"/>
      <c r="AI339" s="1636"/>
      <c r="AJ339" s="1636"/>
      <c r="AK339" s="1636"/>
      <c r="AL339" s="1639">
        <v>0</v>
      </c>
    </row>
    <row s="1854" customFormat="1" customHeight="1" ht="22.5">
      <c r="A340" s="991"/>
      <c r="B340" s="1370"/>
      <c r="C340" s="1646"/>
      <c r="D340" s="687" t="s">
        <v>104</v>
      </c>
      <c r="E340" s="550" t="str">
        <f>E245&amp;".94"</f>
        <v>15.94</v>
      </c>
      <c r="F340" s="544" t="s">
        <v>831</v>
      </c>
      <c r="G340" s="2370" t="s">
        <v>578</v>
      </c>
      <c r="H340" s="549"/>
      <c r="I340" s="549">
        <v>155.48</v>
      </c>
      <c r="J340" s="549"/>
      <c r="K340" s="549"/>
      <c r="L340" s="549"/>
      <c r="M340" s="549"/>
      <c r="N340" s="549"/>
      <c r="O340" s="549"/>
      <c r="P340" s="1529" t="s">
        <v>579</v>
      </c>
      <c r="Q340" s="738"/>
      <c r="R340" s="1646"/>
      <c r="S340" s="1646"/>
      <c r="T340" s="1370"/>
      <c r="U340" s="1370"/>
      <c r="V340" s="1370"/>
      <c r="W340" s="1370"/>
      <c r="X340" s="1646"/>
      <c r="Y340" s="1370"/>
      <c r="Z340" s="1370"/>
      <c r="AA340" s="740"/>
      <c r="AB340" s="1370"/>
      <c r="AC340" s="1370"/>
      <c r="AD340" s="1370"/>
      <c r="AE340" s="1370"/>
      <c r="AF340" s="1370"/>
      <c r="AG340" s="1636"/>
      <c r="AH340" s="1636"/>
      <c r="AI340" s="1636"/>
      <c r="AJ340" s="1636"/>
      <c r="AK340" s="1636"/>
      <c r="AL340" s="1639">
        <v>0</v>
      </c>
    </row>
    <row s="1854" customFormat="1" customHeight="1" ht="22.5">
      <c r="A341" s="991"/>
      <c r="B341" s="1370"/>
      <c r="C341" s="1646"/>
      <c r="D341" s="687" t="s">
        <v>104</v>
      </c>
      <c r="E341" s="550" t="str">
        <f>E245&amp;".95"</f>
        <v>15.95</v>
      </c>
      <c r="F341" s="544" t="s">
        <v>832</v>
      </c>
      <c r="G341" s="2370" t="s">
        <v>578</v>
      </c>
      <c r="H341" s="549"/>
      <c r="I341" s="549">
        <v>165.18</v>
      </c>
      <c r="J341" s="549"/>
      <c r="K341" s="549"/>
      <c r="L341" s="549"/>
      <c r="M341" s="549"/>
      <c r="N341" s="549"/>
      <c r="O341" s="549"/>
      <c r="P341" s="1529" t="s">
        <v>579</v>
      </c>
      <c r="Q341" s="738"/>
      <c r="R341" s="1646"/>
      <c r="S341" s="1646"/>
      <c r="T341" s="1370"/>
      <c r="U341" s="1370"/>
      <c r="V341" s="1370"/>
      <c r="W341" s="1370"/>
      <c r="X341" s="1646"/>
      <c r="Y341" s="1370"/>
      <c r="Z341" s="1370"/>
      <c r="AA341" s="740"/>
      <c r="AB341" s="1370"/>
      <c r="AC341" s="1370"/>
      <c r="AD341" s="1370"/>
      <c r="AE341" s="1370"/>
      <c r="AF341" s="1370"/>
      <c r="AG341" s="1636"/>
      <c r="AH341" s="1636"/>
      <c r="AI341" s="1636"/>
      <c r="AJ341" s="1636"/>
      <c r="AK341" s="1636"/>
      <c r="AL341" s="1639">
        <v>0</v>
      </c>
    </row>
    <row s="1854" customFormat="1" customHeight="1" ht="22.5">
      <c r="A342" s="991"/>
      <c r="B342" s="1370"/>
      <c r="C342" s="1646"/>
      <c r="D342" s="687" t="s">
        <v>104</v>
      </c>
      <c r="E342" s="550" t="str">
        <f>E245&amp;".96"</f>
        <v>15.96</v>
      </c>
      <c r="F342" s="544" t="s">
        <v>833</v>
      </c>
      <c r="G342" s="2370" t="s">
        <v>578</v>
      </c>
      <c r="H342" s="549"/>
      <c r="I342" s="549">
        <v>172.54</v>
      </c>
      <c r="J342" s="549"/>
      <c r="K342" s="549"/>
      <c r="L342" s="549"/>
      <c r="M342" s="549"/>
      <c r="N342" s="549"/>
      <c r="O342" s="549"/>
      <c r="P342" s="1529" t="s">
        <v>579</v>
      </c>
      <c r="Q342" s="738"/>
      <c r="R342" s="1646"/>
      <c r="S342" s="1646"/>
      <c r="T342" s="1370"/>
      <c r="U342" s="1370"/>
      <c r="V342" s="1370"/>
      <c r="W342" s="1370"/>
      <c r="X342" s="1646"/>
      <c r="Y342" s="1370"/>
      <c r="Z342" s="1370"/>
      <c r="AA342" s="740"/>
      <c r="AB342" s="1370"/>
      <c r="AC342" s="1370"/>
      <c r="AD342" s="1370"/>
      <c r="AE342" s="1370"/>
      <c r="AF342" s="1370"/>
      <c r="AG342" s="1636"/>
      <c r="AH342" s="1636"/>
      <c r="AI342" s="1636"/>
      <c r="AJ342" s="1636"/>
      <c r="AK342" s="1636"/>
      <c r="AL342" s="1639">
        <v>0</v>
      </c>
    </row>
    <row s="1854" customFormat="1" customHeight="1" ht="22.5">
      <c r="A343" s="991"/>
      <c r="B343" s="1370"/>
      <c r="C343" s="1646"/>
      <c r="D343" s="687" t="s">
        <v>104</v>
      </c>
      <c r="E343" s="550" t="str">
        <f>E245&amp;".97"</f>
        <v>15.97</v>
      </c>
      <c r="F343" s="544" t="s">
        <v>834</v>
      </c>
      <c r="G343" s="2370" t="s">
        <v>578</v>
      </c>
      <c r="H343" s="549"/>
      <c r="I343" s="549">
        <v>159.34</v>
      </c>
      <c r="J343" s="549"/>
      <c r="K343" s="549"/>
      <c r="L343" s="549"/>
      <c r="M343" s="549"/>
      <c r="N343" s="549"/>
      <c r="O343" s="549"/>
      <c r="P343" s="1529" t="s">
        <v>579</v>
      </c>
      <c r="Q343" s="738"/>
      <c r="R343" s="1646"/>
      <c r="S343" s="1646"/>
      <c r="T343" s="1370"/>
      <c r="U343" s="1370"/>
      <c r="V343" s="1370"/>
      <c r="W343" s="1370"/>
      <c r="X343" s="1646"/>
      <c r="Y343" s="1370"/>
      <c r="Z343" s="1370"/>
      <c r="AA343" s="740"/>
      <c r="AB343" s="1370"/>
      <c r="AC343" s="1370"/>
      <c r="AD343" s="1370"/>
      <c r="AE343" s="1370"/>
      <c r="AF343" s="1370"/>
      <c r="AG343" s="1636"/>
      <c r="AH343" s="1636"/>
      <c r="AI343" s="1636"/>
      <c r="AJ343" s="1636"/>
      <c r="AK343" s="1636"/>
      <c r="AL343" s="1639">
        <v>0</v>
      </c>
    </row>
    <row s="1854" customFormat="1" customHeight="1" ht="22.5">
      <c r="A344" s="991"/>
      <c r="B344" s="1370"/>
      <c r="C344" s="1646"/>
      <c r="D344" s="687" t="s">
        <v>104</v>
      </c>
      <c r="E344" s="550" t="str">
        <f>E245&amp;".98"</f>
        <v>15.98</v>
      </c>
      <c r="F344" s="544" t="s">
        <v>835</v>
      </c>
      <c r="G344" s="2370" t="s">
        <v>578</v>
      </c>
      <c r="H344" s="549"/>
      <c r="I344" s="549">
        <v>159.41</v>
      </c>
      <c r="J344" s="549"/>
      <c r="K344" s="549"/>
      <c r="L344" s="549"/>
      <c r="M344" s="549"/>
      <c r="N344" s="549"/>
      <c r="O344" s="549"/>
      <c r="P344" s="1529" t="s">
        <v>579</v>
      </c>
      <c r="Q344" s="738"/>
      <c r="R344" s="1646"/>
      <c r="S344" s="1646"/>
      <c r="T344" s="1370"/>
      <c r="U344" s="1370"/>
      <c r="V344" s="1370"/>
      <c r="W344" s="1370"/>
      <c r="X344" s="1646"/>
      <c r="Y344" s="1370"/>
      <c r="Z344" s="1370"/>
      <c r="AA344" s="740"/>
      <c r="AB344" s="1370"/>
      <c r="AC344" s="1370"/>
      <c r="AD344" s="1370"/>
      <c r="AE344" s="1370"/>
      <c r="AF344" s="1370"/>
      <c r="AG344" s="1636"/>
      <c r="AH344" s="1636"/>
      <c r="AI344" s="1636"/>
      <c r="AJ344" s="1636"/>
      <c r="AK344" s="1636"/>
      <c r="AL344" s="1639">
        <v>0</v>
      </c>
    </row>
    <row s="1854" customFormat="1" customHeight="1" ht="22.5">
      <c r="A345" s="991"/>
      <c r="B345" s="1370"/>
      <c r="C345" s="1646"/>
      <c r="D345" s="687" t="s">
        <v>104</v>
      </c>
      <c r="E345" s="550" t="str">
        <f>E245&amp;".99"</f>
        <v>15.99</v>
      </c>
      <c r="F345" s="544" t="s">
        <v>836</v>
      </c>
      <c r="G345" s="2370" t="s">
        <v>578</v>
      </c>
      <c r="H345" s="549"/>
      <c r="I345" s="549">
        <v>161.19</v>
      </c>
      <c r="J345" s="549"/>
      <c r="K345" s="549"/>
      <c r="L345" s="549"/>
      <c r="M345" s="549"/>
      <c r="N345" s="549"/>
      <c r="O345" s="549"/>
      <c r="P345" s="1529" t="s">
        <v>579</v>
      </c>
      <c r="Q345" s="738"/>
      <c r="R345" s="1646"/>
      <c r="S345" s="1646"/>
      <c r="T345" s="1370"/>
      <c r="U345" s="1370"/>
      <c r="V345" s="1370"/>
      <c r="W345" s="1370"/>
      <c r="X345" s="1646"/>
      <c r="Y345" s="1370"/>
      <c r="Z345" s="1370"/>
      <c r="AA345" s="740"/>
      <c r="AB345" s="1370"/>
      <c r="AC345" s="1370"/>
      <c r="AD345" s="1370"/>
      <c r="AE345" s="1370"/>
      <c r="AF345" s="1370"/>
      <c r="AG345" s="1636"/>
      <c r="AH345" s="1636"/>
      <c r="AI345" s="1636"/>
      <c r="AJ345" s="1636"/>
      <c r="AK345" s="1636"/>
      <c r="AL345" s="1639">
        <v>0</v>
      </c>
    </row>
    <row s="1854" customFormat="1" customHeight="1" ht="22.5">
      <c r="A346" s="991"/>
      <c r="B346" s="1370"/>
      <c r="C346" s="1646"/>
      <c r="D346" s="687" t="s">
        <v>104</v>
      </c>
      <c r="E346" s="550" t="str">
        <f>E245&amp;".100"</f>
        <v>15.100</v>
      </c>
      <c r="F346" s="544" t="s">
        <v>837</v>
      </c>
      <c r="G346" s="2370" t="s">
        <v>578</v>
      </c>
      <c r="H346" s="549"/>
      <c r="I346" s="549">
        <v>163.02</v>
      </c>
      <c r="J346" s="549"/>
      <c r="K346" s="549"/>
      <c r="L346" s="549"/>
      <c r="M346" s="549"/>
      <c r="N346" s="549"/>
      <c r="O346" s="549"/>
      <c r="P346" s="1529" t="s">
        <v>579</v>
      </c>
      <c r="Q346" s="738"/>
      <c r="R346" s="1646"/>
      <c r="S346" s="1646"/>
      <c r="T346" s="1370"/>
      <c r="U346" s="1370"/>
      <c r="V346" s="1370"/>
      <c r="W346" s="1370"/>
      <c r="X346" s="1646"/>
      <c r="Y346" s="1370"/>
      <c r="Z346" s="1370"/>
      <c r="AA346" s="740"/>
      <c r="AB346" s="1370"/>
      <c r="AC346" s="1370"/>
      <c r="AD346" s="1370"/>
      <c r="AE346" s="1370"/>
      <c r="AF346" s="1370"/>
      <c r="AG346" s="1636"/>
      <c r="AH346" s="1636"/>
      <c r="AI346" s="1636"/>
      <c r="AJ346" s="1636"/>
      <c r="AK346" s="1636"/>
      <c r="AL346" s="1639">
        <v>0</v>
      </c>
    </row>
    <row s="1854" customFormat="1" customHeight="1" ht="22.5">
      <c r="A347" s="991"/>
      <c r="B347" s="1370"/>
      <c r="C347" s="1646"/>
      <c r="D347" s="687" t="s">
        <v>104</v>
      </c>
      <c r="E347" s="550" t="str">
        <f>E245&amp;".101"</f>
        <v>15.101</v>
      </c>
      <c r="F347" s="544" t="s">
        <v>838</v>
      </c>
      <c r="G347" s="2370" t="s">
        <v>578</v>
      </c>
      <c r="H347" s="549"/>
      <c r="I347" s="549">
        <v>157.25</v>
      </c>
      <c r="J347" s="549"/>
      <c r="K347" s="549"/>
      <c r="L347" s="549"/>
      <c r="M347" s="549"/>
      <c r="N347" s="549"/>
      <c r="O347" s="549"/>
      <c r="P347" s="1529" t="s">
        <v>579</v>
      </c>
      <c r="Q347" s="738"/>
      <c r="R347" s="1646"/>
      <c r="S347" s="1646"/>
      <c r="T347" s="1370"/>
      <c r="U347" s="1370"/>
      <c r="V347" s="1370"/>
      <c r="W347" s="1370"/>
      <c r="X347" s="1646"/>
      <c r="Y347" s="1370"/>
      <c r="Z347" s="1370"/>
      <c r="AA347" s="740"/>
      <c r="AB347" s="1370"/>
      <c r="AC347" s="1370"/>
      <c r="AD347" s="1370"/>
      <c r="AE347" s="1370"/>
      <c r="AF347" s="1370"/>
      <c r="AG347" s="1636"/>
      <c r="AH347" s="1636"/>
      <c r="AI347" s="1636"/>
      <c r="AJ347" s="1636"/>
      <c r="AK347" s="1636"/>
      <c r="AL347" s="1639">
        <v>0</v>
      </c>
    </row>
    <row s="1854" customFormat="1" customHeight="1" ht="22.5">
      <c r="A348" s="991"/>
      <c r="B348" s="1370"/>
      <c r="C348" s="1646"/>
      <c r="D348" s="687" t="s">
        <v>104</v>
      </c>
      <c r="E348" s="550" t="str">
        <f>E245&amp;".102"</f>
        <v>15.102</v>
      </c>
      <c r="F348" s="544" t="s">
        <v>839</v>
      </c>
      <c r="G348" s="2370" t="s">
        <v>578</v>
      </c>
      <c r="H348" s="549"/>
      <c r="I348" s="549">
        <v>162.7</v>
      </c>
      <c r="J348" s="549"/>
      <c r="K348" s="549"/>
      <c r="L348" s="549"/>
      <c r="M348" s="549"/>
      <c r="N348" s="549"/>
      <c r="O348" s="549"/>
      <c r="P348" s="1529" t="s">
        <v>579</v>
      </c>
      <c r="Q348" s="738"/>
      <c r="R348" s="1646"/>
      <c r="S348" s="1646"/>
      <c r="T348" s="1370"/>
      <c r="U348" s="1370"/>
      <c r="V348" s="1370"/>
      <c r="W348" s="1370"/>
      <c r="X348" s="1646"/>
      <c r="Y348" s="1370"/>
      <c r="Z348" s="1370"/>
      <c r="AA348" s="740"/>
      <c r="AB348" s="1370"/>
      <c r="AC348" s="1370"/>
      <c r="AD348" s="1370"/>
      <c r="AE348" s="1370"/>
      <c r="AF348" s="1370"/>
      <c r="AG348" s="1636"/>
      <c r="AH348" s="1636"/>
      <c r="AI348" s="1636"/>
      <c r="AJ348" s="1636"/>
      <c r="AK348" s="1636"/>
      <c r="AL348" s="1639">
        <v>0</v>
      </c>
    </row>
    <row s="1854" customFormat="1" customHeight="1" ht="22.5">
      <c r="A349" s="991"/>
      <c r="B349" s="1370"/>
      <c r="C349" s="1646"/>
      <c r="D349" s="687" t="s">
        <v>104</v>
      </c>
      <c r="E349" s="550" t="str">
        <f>E245&amp;".103"</f>
        <v>15.103</v>
      </c>
      <c r="F349" s="544" t="s">
        <v>840</v>
      </c>
      <c r="G349" s="2370" t="s">
        <v>578</v>
      </c>
      <c r="H349" s="549"/>
      <c r="I349" s="549"/>
      <c r="J349" s="549">
        <v>156.03</v>
      </c>
      <c r="K349" s="549"/>
      <c r="L349" s="549"/>
      <c r="M349" s="549"/>
      <c r="N349" s="549"/>
      <c r="O349" s="549"/>
      <c r="P349" s="1529" t="s">
        <v>579</v>
      </c>
      <c r="Q349" s="738"/>
      <c r="R349" s="1646"/>
      <c r="S349" s="1646"/>
      <c r="T349" s="1370"/>
      <c r="U349" s="1370"/>
      <c r="V349" s="1370"/>
      <c r="W349" s="1370"/>
      <c r="X349" s="1646"/>
      <c r="Y349" s="1370"/>
      <c r="Z349" s="1370"/>
      <c r="AA349" s="740"/>
      <c r="AB349" s="1370"/>
      <c r="AC349" s="1370"/>
      <c r="AD349" s="1370"/>
      <c r="AE349" s="1370"/>
      <c r="AF349" s="1370"/>
      <c r="AG349" s="1636"/>
      <c r="AH349" s="1636"/>
      <c r="AI349" s="1636"/>
      <c r="AJ349" s="1636"/>
      <c r="AK349" s="1636"/>
      <c r="AL349" s="1639">
        <v>0</v>
      </c>
    </row>
    <row s="1854" customFormat="1" customHeight="1" ht="22.5">
      <c r="A350" s="991"/>
      <c r="B350" s="1370"/>
      <c r="C350" s="1646"/>
      <c r="D350" s="687" t="s">
        <v>104</v>
      </c>
      <c r="E350" s="550" t="str">
        <f>E245&amp;".104"</f>
        <v>15.104</v>
      </c>
      <c r="F350" s="544" t="s">
        <v>841</v>
      </c>
      <c r="G350" s="2370" t="s">
        <v>578</v>
      </c>
      <c r="H350" s="549"/>
      <c r="I350" s="549"/>
      <c r="J350" s="549"/>
      <c r="K350" s="549">
        <v>156.46</v>
      </c>
      <c r="L350" s="549"/>
      <c r="M350" s="549"/>
      <c r="N350" s="549"/>
      <c r="O350" s="549"/>
      <c r="P350" s="1529" t="s">
        <v>579</v>
      </c>
      <c r="Q350" s="738"/>
      <c r="R350" s="1646"/>
      <c r="S350" s="1646"/>
      <c r="T350" s="1370"/>
      <c r="U350" s="1370"/>
      <c r="V350" s="1370"/>
      <c r="W350" s="1370"/>
      <c r="X350" s="1646"/>
      <c r="Y350" s="1370"/>
      <c r="Z350" s="1370"/>
      <c r="AA350" s="740"/>
      <c r="AB350" s="1370"/>
      <c r="AC350" s="1370"/>
      <c r="AD350" s="1370"/>
      <c r="AE350" s="1370"/>
      <c r="AF350" s="1370"/>
      <c r="AG350" s="1636"/>
      <c r="AH350" s="1636"/>
      <c r="AI350" s="1636"/>
      <c r="AJ350" s="1636"/>
      <c r="AK350" s="1636"/>
      <c r="AL350" s="1639">
        <v>0</v>
      </c>
    </row>
    <row s="1854" customFormat="1" customHeight="1" ht="22.5">
      <c r="A351" s="991"/>
      <c r="B351" s="1370"/>
      <c r="C351" s="1646"/>
      <c r="D351" s="687" t="s">
        <v>104</v>
      </c>
      <c r="E351" s="550" t="str">
        <f>E245&amp;".105"</f>
        <v>15.105</v>
      </c>
      <c r="F351" s="544" t="s">
        <v>842</v>
      </c>
      <c r="G351" s="2370" t="s">
        <v>578</v>
      </c>
      <c r="H351" s="549"/>
      <c r="I351" s="549"/>
      <c r="J351" s="549"/>
      <c r="K351" s="549">
        <v>152.61</v>
      </c>
      <c r="L351" s="549"/>
      <c r="M351" s="549"/>
      <c r="N351" s="549"/>
      <c r="O351" s="549"/>
      <c r="P351" s="1529" t="s">
        <v>579</v>
      </c>
      <c r="Q351" s="738"/>
      <c r="R351" s="1646"/>
      <c r="S351" s="1646"/>
      <c r="T351" s="1370"/>
      <c r="U351" s="1370"/>
      <c r="V351" s="1370"/>
      <c r="W351" s="1370"/>
      <c r="X351" s="1646"/>
      <c r="Y351" s="1370"/>
      <c r="Z351" s="1370"/>
      <c r="AA351" s="740"/>
      <c r="AB351" s="1370"/>
      <c r="AC351" s="1370"/>
      <c r="AD351" s="1370"/>
      <c r="AE351" s="1370"/>
      <c r="AF351" s="1370"/>
      <c r="AG351" s="1636"/>
      <c r="AH351" s="1636"/>
      <c r="AI351" s="1636"/>
      <c r="AJ351" s="1636"/>
      <c r="AK351" s="1636"/>
      <c r="AL351" s="1639">
        <v>0</v>
      </c>
    </row>
    <row s="1854" customFormat="1" customHeight="1" ht="22.5">
      <c r="A352" s="991"/>
      <c r="B352" s="1370"/>
      <c r="C352" s="1646"/>
      <c r="D352" s="687" t="s">
        <v>104</v>
      </c>
      <c r="E352" s="550" t="str">
        <f>E245&amp;".106"</f>
        <v>15.106</v>
      </c>
      <c r="F352" s="544" t="s">
        <v>843</v>
      </c>
      <c r="G352" s="2370" t="s">
        <v>578</v>
      </c>
      <c r="H352" s="549"/>
      <c r="I352" s="549"/>
      <c r="J352" s="549"/>
      <c r="K352" s="549">
        <v>155.98</v>
      </c>
      <c r="L352" s="549"/>
      <c r="M352" s="549"/>
      <c r="N352" s="549"/>
      <c r="O352" s="549"/>
      <c r="P352" s="1529" t="s">
        <v>579</v>
      </c>
      <c r="Q352" s="738"/>
      <c r="R352" s="1646"/>
      <c r="S352" s="1646"/>
      <c r="T352" s="1370"/>
      <c r="U352" s="1370"/>
      <c r="V352" s="1370"/>
      <c r="W352" s="1370"/>
      <c r="X352" s="1646"/>
      <c r="Y352" s="1370"/>
      <c r="Z352" s="1370"/>
      <c r="AA352" s="740"/>
      <c r="AB352" s="1370"/>
      <c r="AC352" s="1370"/>
      <c r="AD352" s="1370"/>
      <c r="AE352" s="1370"/>
      <c r="AF352" s="1370"/>
      <c r="AG352" s="1636"/>
      <c r="AH352" s="1636"/>
      <c r="AI352" s="1636"/>
      <c r="AJ352" s="1636"/>
      <c r="AK352" s="1636"/>
      <c r="AL352" s="1639">
        <v>0</v>
      </c>
    </row>
    <row s="1854" customFormat="1" customHeight="1" ht="22.5">
      <c r="A353" s="991"/>
      <c r="B353" s="1370"/>
      <c r="C353" s="1646"/>
      <c r="D353" s="687" t="s">
        <v>104</v>
      </c>
      <c r="E353" s="550" t="str">
        <f>E245&amp;".107"</f>
        <v>15.107</v>
      </c>
      <c r="F353" s="544" t="s">
        <v>844</v>
      </c>
      <c r="G353" s="2370" t="s">
        <v>578</v>
      </c>
      <c r="H353" s="549"/>
      <c r="I353" s="549"/>
      <c r="J353" s="549"/>
      <c r="K353" s="549">
        <v>156.72</v>
      </c>
      <c r="L353" s="549"/>
      <c r="M353" s="549"/>
      <c r="N353" s="549"/>
      <c r="O353" s="549"/>
      <c r="P353" s="1529" t="s">
        <v>579</v>
      </c>
      <c r="Q353" s="738"/>
      <c r="R353" s="1646"/>
      <c r="S353" s="1646"/>
      <c r="T353" s="1370"/>
      <c r="U353" s="1370"/>
      <c r="V353" s="1370"/>
      <c r="W353" s="1370"/>
      <c r="X353" s="1646"/>
      <c r="Y353" s="1370"/>
      <c r="Z353" s="1370"/>
      <c r="AA353" s="740"/>
      <c r="AB353" s="1370"/>
      <c r="AC353" s="1370"/>
      <c r="AD353" s="1370"/>
      <c r="AE353" s="1370"/>
      <c r="AF353" s="1370"/>
      <c r="AG353" s="1636"/>
      <c r="AH353" s="1636"/>
      <c r="AI353" s="1636"/>
      <c r="AJ353" s="1636"/>
      <c r="AK353" s="1636"/>
      <c r="AL353" s="1639">
        <v>0</v>
      </c>
    </row>
    <row s="1854" customFormat="1" customHeight="1" ht="22.5">
      <c r="A354" s="991"/>
      <c r="B354" s="1370"/>
      <c r="C354" s="1646"/>
      <c r="D354" s="687" t="s">
        <v>104</v>
      </c>
      <c r="E354" s="550" t="str">
        <f>E245&amp;".108"</f>
        <v>15.108</v>
      </c>
      <c r="F354" s="544" t="s">
        <v>845</v>
      </c>
      <c r="G354" s="2370" t="s">
        <v>578</v>
      </c>
      <c r="H354" s="549"/>
      <c r="I354" s="549"/>
      <c r="J354" s="549"/>
      <c r="K354" s="549">
        <v>156.72</v>
      </c>
      <c r="L354" s="549"/>
      <c r="M354" s="549"/>
      <c r="N354" s="549"/>
      <c r="O354" s="549"/>
      <c r="P354" s="1529" t="s">
        <v>579</v>
      </c>
      <c r="Q354" s="738"/>
      <c r="R354" s="1646"/>
      <c r="S354" s="1646"/>
      <c r="T354" s="1370"/>
      <c r="U354" s="1370"/>
      <c r="V354" s="1370"/>
      <c r="W354" s="1370"/>
      <c r="X354" s="1646"/>
      <c r="Y354" s="1370"/>
      <c r="Z354" s="1370"/>
      <c r="AA354" s="740"/>
      <c r="AB354" s="1370"/>
      <c r="AC354" s="1370"/>
      <c r="AD354" s="1370"/>
      <c r="AE354" s="1370"/>
      <c r="AF354" s="1370"/>
      <c r="AG354" s="1636"/>
      <c r="AH354" s="1636"/>
      <c r="AI354" s="1636"/>
      <c r="AJ354" s="1636"/>
      <c r="AK354" s="1636"/>
      <c r="AL354" s="1639">
        <v>0</v>
      </c>
    </row>
    <row customHeight="1" ht="15">
      <c r="A355" s="2375"/>
      <c r="D355" s="1637"/>
      <c r="E355" s="574"/>
      <c r="F355" s="1172" t="s">
        <v>726</v>
      </c>
      <c r="G355" s="576"/>
      <c r="H355" s="577"/>
      <c r="I355" s="577"/>
      <c r="J355" s="2670"/>
      <c r="K355" s="2671"/>
      <c r="L355" s="2672"/>
      <c r="M355" s="2673"/>
      <c r="N355" s="2674"/>
      <c r="O355" s="2675"/>
      <c r="P355" s="1008" t="s">
        <v>846</v>
      </c>
      <c r="Q355" s="547"/>
      <c r="AL355" s="1635">
        <v>0</v>
      </c>
    </row>
    <row customHeight="1" ht="77.25">
      <c r="A356" s="2375"/>
      <c r="D356" s="1642"/>
      <c r="E356" s="550" t="str">
        <f>FHD_NUM_P_79</f>
        <v>16</v>
      </c>
      <c r="F356" s="188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356" s="1882" t="s">
        <v>580</v>
      </c>
      <c r="H356" s="581"/>
      <c r="I356" s="581">
        <v>159.02</v>
      </c>
      <c r="J356" s="581">
        <v>156.03</v>
      </c>
      <c r="K356" s="581">
        <v>149.01</v>
      </c>
      <c r="L356" s="581">
        <v>0</v>
      </c>
      <c r="M356" s="581">
        <v>0</v>
      </c>
      <c r="N356" s="581">
        <v>0</v>
      </c>
      <c r="O356" s="581">
        <v>0</v>
      </c>
      <c r="P356" s="29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Q356" s="547"/>
      <c r="AL356" s="1635">
        <v>0</v>
      </c>
    </row>
    <row s="1646" customFormat="1" customHeight="1" ht="7.5">
      <c r="A357" s="2375"/>
      <c r="D357" s="552"/>
      <c r="E357" s="1017" t="str">
        <f>E356&amp;".0"</f>
        <v>16.0</v>
      </c>
      <c r="F357" s="1002"/>
      <c r="G357" s="1655"/>
      <c r="H357" s="996"/>
      <c r="I357" s="996"/>
      <c r="J357" s="996"/>
      <c r="K357" s="996"/>
      <c r="L357" s="996"/>
      <c r="M357" s="996"/>
      <c r="N357" s="996"/>
      <c r="O357" s="996"/>
      <c r="P357" s="1000"/>
      <c r="AL357" s="1640">
        <v>0</v>
      </c>
    </row>
    <row s="1854" customFormat="1" customHeight="1" ht="22.5">
      <c r="A358" s="991"/>
      <c r="B358" s="1370"/>
      <c r="C358" s="1646"/>
      <c r="D358" s="687" t="s">
        <v>104</v>
      </c>
      <c r="E358" s="550" t="str">
        <f>E356&amp;".1"</f>
        <v>16.1</v>
      </c>
      <c r="F358" s="544" t="s">
        <v>738</v>
      </c>
      <c r="G358" s="2370" t="s">
        <v>580</v>
      </c>
      <c r="H358" s="549"/>
      <c r="I358" s="549">
        <v>157.15</v>
      </c>
      <c r="J358" s="549"/>
      <c r="K358" s="549"/>
      <c r="L358" s="549"/>
      <c r="M358" s="549"/>
      <c r="N358" s="549"/>
      <c r="O358" s="549"/>
      <c r="P358" s="1529" t="s">
        <v>581</v>
      </c>
      <c r="Q358" s="738"/>
      <c r="R358" s="1646"/>
      <c r="S358" s="1646"/>
      <c r="T358" s="1370"/>
      <c r="U358" s="1370"/>
      <c r="V358" s="1370"/>
      <c r="W358" s="1370"/>
      <c r="X358" s="1646"/>
      <c r="Y358" s="1370"/>
      <c r="Z358" s="1370"/>
      <c r="AA358" s="740"/>
      <c r="AB358" s="1370"/>
      <c r="AC358" s="1370"/>
      <c r="AD358" s="1370"/>
      <c r="AE358" s="1370"/>
      <c r="AF358" s="1370"/>
      <c r="AG358" s="1636"/>
      <c r="AH358" s="1636"/>
      <c r="AI358" s="1636"/>
      <c r="AJ358" s="1636"/>
      <c r="AK358" s="1636"/>
      <c r="AL358" s="1639">
        <v>0</v>
      </c>
    </row>
    <row s="1854" customFormat="1" customHeight="1" ht="22.5">
      <c r="A359" s="991"/>
      <c r="B359" s="1370"/>
      <c r="C359" s="1646"/>
      <c r="D359" s="687" t="s">
        <v>104</v>
      </c>
      <c r="E359" s="550" t="str">
        <f>E356&amp;".2"</f>
        <v>16.2</v>
      </c>
      <c r="F359" s="544" t="s">
        <v>739</v>
      </c>
      <c r="G359" s="2370" t="s">
        <v>580</v>
      </c>
      <c r="H359" s="549"/>
      <c r="I359" s="549">
        <v>160.15</v>
      </c>
      <c r="J359" s="549"/>
      <c r="K359" s="549"/>
      <c r="L359" s="549"/>
      <c r="M359" s="549"/>
      <c r="N359" s="549"/>
      <c r="O359" s="549"/>
      <c r="P359" s="1529" t="s">
        <v>581</v>
      </c>
      <c r="Q359" s="738"/>
      <c r="R359" s="1646"/>
      <c r="S359" s="1646"/>
      <c r="T359" s="1370"/>
      <c r="U359" s="1370"/>
      <c r="V359" s="1370"/>
      <c r="W359" s="1370"/>
      <c r="X359" s="1646"/>
      <c r="Y359" s="1370"/>
      <c r="Z359" s="1370"/>
      <c r="AA359" s="740"/>
      <c r="AB359" s="1370"/>
      <c r="AC359" s="1370"/>
      <c r="AD359" s="1370"/>
      <c r="AE359" s="1370"/>
      <c r="AF359" s="1370"/>
      <c r="AG359" s="1636"/>
      <c r="AH359" s="1636"/>
      <c r="AI359" s="1636"/>
      <c r="AJ359" s="1636"/>
      <c r="AK359" s="1636"/>
      <c r="AL359" s="1639">
        <v>0</v>
      </c>
    </row>
    <row s="1854" customFormat="1" customHeight="1" ht="22.5">
      <c r="A360" s="991"/>
      <c r="B360" s="1370"/>
      <c r="C360" s="1646"/>
      <c r="D360" s="687" t="s">
        <v>104</v>
      </c>
      <c r="E360" s="550" t="str">
        <f>E356&amp;".3"</f>
        <v>16.3</v>
      </c>
      <c r="F360" s="544" t="s">
        <v>740</v>
      </c>
      <c r="G360" s="2370" t="s">
        <v>580</v>
      </c>
      <c r="H360" s="549"/>
      <c r="I360" s="549">
        <v>160.12</v>
      </c>
      <c r="J360" s="549"/>
      <c r="K360" s="549"/>
      <c r="L360" s="549"/>
      <c r="M360" s="549"/>
      <c r="N360" s="549"/>
      <c r="O360" s="549"/>
      <c r="P360" s="1529" t="s">
        <v>581</v>
      </c>
      <c r="Q360" s="738"/>
      <c r="R360" s="1646"/>
      <c r="S360" s="1646"/>
      <c r="T360" s="1370"/>
      <c r="U360" s="1370"/>
      <c r="V360" s="1370"/>
      <c r="W360" s="1370"/>
      <c r="X360" s="1646"/>
      <c r="Y360" s="1370"/>
      <c r="Z360" s="1370"/>
      <c r="AA360" s="740"/>
      <c r="AB360" s="1370"/>
      <c r="AC360" s="1370"/>
      <c r="AD360" s="1370"/>
      <c r="AE360" s="1370"/>
      <c r="AF360" s="1370"/>
      <c r="AG360" s="1636"/>
      <c r="AH360" s="1636"/>
      <c r="AI360" s="1636"/>
      <c r="AJ360" s="1636"/>
      <c r="AK360" s="1636"/>
      <c r="AL360" s="1639">
        <v>0</v>
      </c>
    </row>
    <row s="1854" customFormat="1" customHeight="1" ht="22.5">
      <c r="A361" s="991"/>
      <c r="B361" s="1370"/>
      <c r="C361" s="1646"/>
      <c r="D361" s="687" t="s">
        <v>104</v>
      </c>
      <c r="E361" s="550" t="str">
        <f>E356&amp;".4"</f>
        <v>16.4</v>
      </c>
      <c r="F361" s="544" t="s">
        <v>741</v>
      </c>
      <c r="G361" s="2370" t="s">
        <v>580</v>
      </c>
      <c r="H361" s="549"/>
      <c r="I361" s="549">
        <v>173.18</v>
      </c>
      <c r="J361" s="549"/>
      <c r="K361" s="549"/>
      <c r="L361" s="549"/>
      <c r="M361" s="549"/>
      <c r="N361" s="549"/>
      <c r="O361" s="549"/>
      <c r="P361" s="1529" t="s">
        <v>581</v>
      </c>
      <c r="Q361" s="738"/>
      <c r="R361" s="1646"/>
      <c r="S361" s="1646"/>
      <c r="T361" s="1370"/>
      <c r="U361" s="1370"/>
      <c r="V361" s="1370"/>
      <c r="W361" s="1370"/>
      <c r="X361" s="1646"/>
      <c r="Y361" s="1370"/>
      <c r="Z361" s="1370"/>
      <c r="AA361" s="740"/>
      <c r="AB361" s="1370"/>
      <c r="AC361" s="1370"/>
      <c r="AD361" s="1370"/>
      <c r="AE361" s="1370"/>
      <c r="AF361" s="1370"/>
      <c r="AG361" s="1636"/>
      <c r="AH361" s="1636"/>
      <c r="AI361" s="1636"/>
      <c r="AJ361" s="1636"/>
      <c r="AK361" s="1636"/>
      <c r="AL361" s="1639">
        <v>0</v>
      </c>
    </row>
    <row s="1854" customFormat="1" customHeight="1" ht="22.5">
      <c r="A362" s="991"/>
      <c r="B362" s="1370"/>
      <c r="C362" s="1646"/>
      <c r="D362" s="687" t="s">
        <v>104</v>
      </c>
      <c r="E362" s="550" t="str">
        <f>E356&amp;".5"</f>
        <v>16.5</v>
      </c>
      <c r="F362" s="544" t="s">
        <v>742</v>
      </c>
      <c r="G362" s="2370" t="s">
        <v>580</v>
      </c>
      <c r="H362" s="549"/>
      <c r="I362" s="549">
        <v>186.45</v>
      </c>
      <c r="J362" s="549"/>
      <c r="K362" s="549"/>
      <c r="L362" s="549"/>
      <c r="M362" s="549"/>
      <c r="N362" s="549"/>
      <c r="O362" s="549"/>
      <c r="P362" s="1529" t="s">
        <v>581</v>
      </c>
      <c r="Q362" s="738"/>
      <c r="R362" s="1646"/>
      <c r="S362" s="1646"/>
      <c r="T362" s="1370"/>
      <c r="U362" s="1370"/>
      <c r="V362" s="1370"/>
      <c r="W362" s="1370"/>
      <c r="X362" s="1646"/>
      <c r="Y362" s="1370"/>
      <c r="Z362" s="1370"/>
      <c r="AA362" s="740"/>
      <c r="AB362" s="1370"/>
      <c r="AC362" s="1370"/>
      <c r="AD362" s="1370"/>
      <c r="AE362" s="1370"/>
      <c r="AF362" s="1370"/>
      <c r="AG362" s="1636"/>
      <c r="AH362" s="1636"/>
      <c r="AI362" s="1636"/>
      <c r="AJ362" s="1636"/>
      <c r="AK362" s="1636"/>
      <c r="AL362" s="1639">
        <v>0</v>
      </c>
    </row>
    <row s="1854" customFormat="1" customHeight="1" ht="22.5">
      <c r="A363" s="991"/>
      <c r="B363" s="1370"/>
      <c r="C363" s="1646"/>
      <c r="D363" s="687" t="s">
        <v>104</v>
      </c>
      <c r="E363" s="550" t="str">
        <f>E356&amp;".6"</f>
        <v>16.6</v>
      </c>
      <c r="F363" s="544" t="s">
        <v>743</v>
      </c>
      <c r="G363" s="2370" t="s">
        <v>580</v>
      </c>
      <c r="H363" s="549"/>
      <c r="I363" s="549">
        <v>160.41</v>
      </c>
      <c r="J363" s="549"/>
      <c r="K363" s="549"/>
      <c r="L363" s="549"/>
      <c r="M363" s="549"/>
      <c r="N363" s="549"/>
      <c r="O363" s="549"/>
      <c r="P363" s="1529" t="s">
        <v>581</v>
      </c>
      <c r="Q363" s="738"/>
      <c r="R363" s="1646"/>
      <c r="S363" s="1646"/>
      <c r="T363" s="1370"/>
      <c r="U363" s="1370"/>
      <c r="V363" s="1370"/>
      <c r="W363" s="1370"/>
      <c r="X363" s="1646"/>
      <c r="Y363" s="1370"/>
      <c r="Z363" s="1370"/>
      <c r="AA363" s="740"/>
      <c r="AB363" s="1370"/>
      <c r="AC363" s="1370"/>
      <c r="AD363" s="1370"/>
      <c r="AE363" s="1370"/>
      <c r="AF363" s="1370"/>
      <c r="AG363" s="1636"/>
      <c r="AH363" s="1636"/>
      <c r="AI363" s="1636"/>
      <c r="AJ363" s="1636"/>
      <c r="AK363" s="1636"/>
      <c r="AL363" s="1639">
        <v>0</v>
      </c>
    </row>
    <row s="1854" customFormat="1" customHeight="1" ht="22.5">
      <c r="A364" s="991"/>
      <c r="B364" s="1370"/>
      <c r="C364" s="1646"/>
      <c r="D364" s="687" t="s">
        <v>104</v>
      </c>
      <c r="E364" s="550" t="str">
        <f>E356&amp;".7"</f>
        <v>16.7</v>
      </c>
      <c r="F364" s="544" t="s">
        <v>744</v>
      </c>
      <c r="G364" s="2370" t="s">
        <v>580</v>
      </c>
      <c r="H364" s="549"/>
      <c r="I364" s="549">
        <v>187.13</v>
      </c>
      <c r="J364" s="549"/>
      <c r="K364" s="549"/>
      <c r="L364" s="549"/>
      <c r="M364" s="549"/>
      <c r="N364" s="549"/>
      <c r="O364" s="549"/>
      <c r="P364" s="1529" t="s">
        <v>581</v>
      </c>
      <c r="Q364" s="738"/>
      <c r="R364" s="1646"/>
      <c r="S364" s="1646"/>
      <c r="T364" s="1370"/>
      <c r="U364" s="1370"/>
      <c r="V364" s="1370"/>
      <c r="W364" s="1370"/>
      <c r="X364" s="1646"/>
      <c r="Y364" s="1370"/>
      <c r="Z364" s="1370"/>
      <c r="AA364" s="740"/>
      <c r="AB364" s="1370"/>
      <c r="AC364" s="1370"/>
      <c r="AD364" s="1370"/>
      <c r="AE364" s="1370"/>
      <c r="AF364" s="1370"/>
      <c r="AG364" s="1636"/>
      <c r="AH364" s="1636"/>
      <c r="AI364" s="1636"/>
      <c r="AJ364" s="1636"/>
      <c r="AK364" s="1636"/>
      <c r="AL364" s="1639">
        <v>0</v>
      </c>
    </row>
    <row s="1854" customFormat="1" customHeight="1" ht="22.5">
      <c r="A365" s="991"/>
      <c r="B365" s="1370"/>
      <c r="C365" s="1646"/>
      <c r="D365" s="687" t="s">
        <v>104</v>
      </c>
      <c r="E365" s="550" t="str">
        <f>E356&amp;".8"</f>
        <v>16.8</v>
      </c>
      <c r="F365" s="544" t="s">
        <v>745</v>
      </c>
      <c r="G365" s="2370" t="s">
        <v>580</v>
      </c>
      <c r="H365" s="549"/>
      <c r="I365" s="549">
        <v>156.26</v>
      </c>
      <c r="J365" s="549"/>
      <c r="K365" s="549"/>
      <c r="L365" s="549"/>
      <c r="M365" s="549"/>
      <c r="N365" s="549"/>
      <c r="O365" s="549"/>
      <c r="P365" s="1529" t="s">
        <v>581</v>
      </c>
      <c r="Q365" s="738"/>
      <c r="R365" s="1646"/>
      <c r="S365" s="1646"/>
      <c r="T365" s="1370"/>
      <c r="U365" s="1370"/>
      <c r="V365" s="1370"/>
      <c r="W365" s="1370"/>
      <c r="X365" s="1646"/>
      <c r="Y365" s="1370"/>
      <c r="Z365" s="1370"/>
      <c r="AA365" s="740"/>
      <c r="AB365" s="1370"/>
      <c r="AC365" s="1370"/>
      <c r="AD365" s="1370"/>
      <c r="AE365" s="1370"/>
      <c r="AF365" s="1370"/>
      <c r="AG365" s="1636"/>
      <c r="AH365" s="1636"/>
      <c r="AI365" s="1636"/>
      <c r="AJ365" s="1636"/>
      <c r="AK365" s="1636"/>
      <c r="AL365" s="1639">
        <v>0</v>
      </c>
    </row>
    <row s="1854" customFormat="1" customHeight="1" ht="22.5">
      <c r="A366" s="991"/>
      <c r="B366" s="1370"/>
      <c r="C366" s="1646"/>
      <c r="D366" s="687" t="s">
        <v>104</v>
      </c>
      <c r="E366" s="550" t="str">
        <f>E356&amp;".9"</f>
        <v>16.9</v>
      </c>
      <c r="F366" s="544" t="s">
        <v>746</v>
      </c>
      <c r="G366" s="2370" t="s">
        <v>580</v>
      </c>
      <c r="H366" s="549"/>
      <c r="I366" s="549">
        <v>157.02</v>
      </c>
      <c r="J366" s="549"/>
      <c r="K366" s="549"/>
      <c r="L366" s="549"/>
      <c r="M366" s="549"/>
      <c r="N366" s="549"/>
      <c r="O366" s="549"/>
      <c r="P366" s="1529" t="s">
        <v>581</v>
      </c>
      <c r="Q366" s="738"/>
      <c r="R366" s="1646"/>
      <c r="S366" s="1646"/>
      <c r="T366" s="1370"/>
      <c r="U366" s="1370"/>
      <c r="V366" s="1370"/>
      <c r="W366" s="1370"/>
      <c r="X366" s="1646"/>
      <c r="Y366" s="1370"/>
      <c r="Z366" s="1370"/>
      <c r="AA366" s="740"/>
      <c r="AB366" s="1370"/>
      <c r="AC366" s="1370"/>
      <c r="AD366" s="1370"/>
      <c r="AE366" s="1370"/>
      <c r="AF366" s="1370"/>
      <c r="AG366" s="1636"/>
      <c r="AH366" s="1636"/>
      <c r="AI366" s="1636"/>
      <c r="AJ366" s="1636"/>
      <c r="AK366" s="1636"/>
      <c r="AL366" s="1639">
        <v>0</v>
      </c>
    </row>
    <row s="1854" customFormat="1" customHeight="1" ht="22.5">
      <c r="A367" s="991"/>
      <c r="B367" s="1370"/>
      <c r="C367" s="1646"/>
      <c r="D367" s="687" t="s">
        <v>104</v>
      </c>
      <c r="E367" s="550" t="str">
        <f>E356&amp;".10"</f>
        <v>16.10</v>
      </c>
      <c r="F367" s="544" t="s">
        <v>747</v>
      </c>
      <c r="G367" s="2370" t="s">
        <v>580</v>
      </c>
      <c r="H367" s="549"/>
      <c r="I367" s="549">
        <v>158.32</v>
      </c>
      <c r="J367" s="549"/>
      <c r="K367" s="549"/>
      <c r="L367" s="549"/>
      <c r="M367" s="549"/>
      <c r="N367" s="549"/>
      <c r="O367" s="549"/>
      <c r="P367" s="1529" t="s">
        <v>581</v>
      </c>
      <c r="Q367" s="738"/>
      <c r="R367" s="1646"/>
      <c r="S367" s="1646"/>
      <c r="T367" s="1370"/>
      <c r="U367" s="1370"/>
      <c r="V367" s="1370"/>
      <c r="W367" s="1370"/>
      <c r="X367" s="1646"/>
      <c r="Y367" s="1370"/>
      <c r="Z367" s="1370"/>
      <c r="AA367" s="740"/>
      <c r="AB367" s="1370"/>
      <c r="AC367" s="1370"/>
      <c r="AD367" s="1370"/>
      <c r="AE367" s="1370"/>
      <c r="AF367" s="1370"/>
      <c r="AG367" s="1636"/>
      <c r="AH367" s="1636"/>
      <c r="AI367" s="1636"/>
      <c r="AJ367" s="1636"/>
      <c r="AK367" s="1636"/>
      <c r="AL367" s="1639">
        <v>0</v>
      </c>
    </row>
    <row s="1854" customFormat="1" customHeight="1" ht="22.5">
      <c r="A368" s="991"/>
      <c r="B368" s="1370"/>
      <c r="C368" s="1646"/>
      <c r="D368" s="687" t="s">
        <v>104</v>
      </c>
      <c r="E368" s="550" t="str">
        <f>E356&amp;".11"</f>
        <v>16.11</v>
      </c>
      <c r="F368" s="544" t="s">
        <v>748</v>
      </c>
      <c r="G368" s="2370" t="s">
        <v>580</v>
      </c>
      <c r="H368" s="549"/>
      <c r="I368" s="549">
        <v>160.06</v>
      </c>
      <c r="J368" s="549"/>
      <c r="K368" s="549"/>
      <c r="L368" s="549"/>
      <c r="M368" s="549"/>
      <c r="N368" s="549"/>
      <c r="O368" s="549"/>
      <c r="P368" s="1529" t="s">
        <v>581</v>
      </c>
      <c r="Q368" s="738"/>
      <c r="R368" s="1646"/>
      <c r="S368" s="1646"/>
      <c r="T368" s="1370"/>
      <c r="U368" s="1370"/>
      <c r="V368" s="1370"/>
      <c r="W368" s="1370"/>
      <c r="X368" s="1646"/>
      <c r="Y368" s="1370"/>
      <c r="Z368" s="1370"/>
      <c r="AA368" s="740"/>
      <c r="AB368" s="1370"/>
      <c r="AC368" s="1370"/>
      <c r="AD368" s="1370"/>
      <c r="AE368" s="1370"/>
      <c r="AF368" s="1370"/>
      <c r="AG368" s="1636"/>
      <c r="AH368" s="1636"/>
      <c r="AI368" s="1636"/>
      <c r="AJ368" s="1636"/>
      <c r="AK368" s="1636"/>
      <c r="AL368" s="1639">
        <v>0</v>
      </c>
    </row>
    <row s="1854" customFormat="1" customHeight="1" ht="22.5">
      <c r="A369" s="991"/>
      <c r="B369" s="1370"/>
      <c r="C369" s="1646"/>
      <c r="D369" s="687" t="s">
        <v>104</v>
      </c>
      <c r="E369" s="550" t="str">
        <f>E356&amp;".12"</f>
        <v>16.12</v>
      </c>
      <c r="F369" s="544" t="s">
        <v>749</v>
      </c>
      <c r="G369" s="2370" t="s">
        <v>580</v>
      </c>
      <c r="H369" s="549"/>
      <c r="I369" s="549">
        <v>161.61</v>
      </c>
      <c r="J369" s="549"/>
      <c r="K369" s="549"/>
      <c r="L369" s="549"/>
      <c r="M369" s="549"/>
      <c r="N369" s="549"/>
      <c r="O369" s="549"/>
      <c r="P369" s="1529" t="s">
        <v>581</v>
      </c>
      <c r="Q369" s="738"/>
      <c r="R369" s="1646"/>
      <c r="S369" s="1646"/>
      <c r="T369" s="1370"/>
      <c r="U369" s="1370"/>
      <c r="V369" s="1370"/>
      <c r="W369" s="1370"/>
      <c r="X369" s="1646"/>
      <c r="Y369" s="1370"/>
      <c r="Z369" s="1370"/>
      <c r="AA369" s="740"/>
      <c r="AB369" s="1370"/>
      <c r="AC369" s="1370"/>
      <c r="AD369" s="1370"/>
      <c r="AE369" s="1370"/>
      <c r="AF369" s="1370"/>
      <c r="AG369" s="1636"/>
      <c r="AH369" s="1636"/>
      <c r="AI369" s="1636"/>
      <c r="AJ369" s="1636"/>
      <c r="AK369" s="1636"/>
      <c r="AL369" s="1639">
        <v>0</v>
      </c>
    </row>
    <row s="1854" customFormat="1" customHeight="1" ht="22.5">
      <c r="A370" s="991"/>
      <c r="B370" s="1370"/>
      <c r="C370" s="1646"/>
      <c r="D370" s="687" t="s">
        <v>104</v>
      </c>
      <c r="E370" s="550" t="str">
        <f>E356&amp;".13"</f>
        <v>16.13</v>
      </c>
      <c r="F370" s="544" t="s">
        <v>750</v>
      </c>
      <c r="G370" s="2370" t="s">
        <v>580</v>
      </c>
      <c r="H370" s="549"/>
      <c r="I370" s="549">
        <v>159.38</v>
      </c>
      <c r="J370" s="549"/>
      <c r="K370" s="549"/>
      <c r="L370" s="549"/>
      <c r="M370" s="549"/>
      <c r="N370" s="549"/>
      <c r="O370" s="549"/>
      <c r="P370" s="1529" t="s">
        <v>581</v>
      </c>
      <c r="Q370" s="738"/>
      <c r="R370" s="1646"/>
      <c r="S370" s="1646"/>
      <c r="T370" s="1370"/>
      <c r="U370" s="1370"/>
      <c r="V370" s="1370"/>
      <c r="W370" s="1370"/>
      <c r="X370" s="1646"/>
      <c r="Y370" s="1370"/>
      <c r="Z370" s="1370"/>
      <c r="AA370" s="740"/>
      <c r="AB370" s="1370"/>
      <c r="AC370" s="1370"/>
      <c r="AD370" s="1370"/>
      <c r="AE370" s="1370"/>
      <c r="AF370" s="1370"/>
      <c r="AG370" s="1636"/>
      <c r="AH370" s="1636"/>
      <c r="AI370" s="1636"/>
      <c r="AJ370" s="1636"/>
      <c r="AK370" s="1636"/>
      <c r="AL370" s="1639">
        <v>0</v>
      </c>
    </row>
    <row s="1854" customFormat="1" customHeight="1" ht="22.5">
      <c r="A371" s="991"/>
      <c r="B371" s="1370"/>
      <c r="C371" s="1646"/>
      <c r="D371" s="687" t="s">
        <v>104</v>
      </c>
      <c r="E371" s="550" t="str">
        <f>E356&amp;".14"</f>
        <v>16.14</v>
      </c>
      <c r="F371" s="544" t="s">
        <v>751</v>
      </c>
      <c r="G371" s="2370" t="s">
        <v>580</v>
      </c>
      <c r="H371" s="549"/>
      <c r="I371" s="549">
        <v>158.29</v>
      </c>
      <c r="J371" s="549"/>
      <c r="K371" s="549"/>
      <c r="L371" s="549"/>
      <c r="M371" s="549"/>
      <c r="N371" s="549"/>
      <c r="O371" s="549"/>
      <c r="P371" s="1529" t="s">
        <v>581</v>
      </c>
      <c r="Q371" s="738"/>
      <c r="R371" s="1646"/>
      <c r="S371" s="1646"/>
      <c r="T371" s="1370"/>
      <c r="U371" s="1370"/>
      <c r="V371" s="1370"/>
      <c r="W371" s="1370"/>
      <c r="X371" s="1646"/>
      <c r="Y371" s="1370"/>
      <c r="Z371" s="1370"/>
      <c r="AA371" s="740"/>
      <c r="AB371" s="1370"/>
      <c r="AC371" s="1370"/>
      <c r="AD371" s="1370"/>
      <c r="AE371" s="1370"/>
      <c r="AF371" s="1370"/>
      <c r="AG371" s="1636"/>
      <c r="AH371" s="1636"/>
      <c r="AI371" s="1636"/>
      <c r="AJ371" s="1636"/>
      <c r="AK371" s="1636"/>
      <c r="AL371" s="1639">
        <v>0</v>
      </c>
    </row>
    <row s="1854" customFormat="1" customHeight="1" ht="22.5">
      <c r="A372" s="991"/>
      <c r="B372" s="1370"/>
      <c r="C372" s="1646"/>
      <c r="D372" s="687" t="s">
        <v>104</v>
      </c>
      <c r="E372" s="550" t="str">
        <f>E356&amp;".15"</f>
        <v>16.15</v>
      </c>
      <c r="F372" s="544" t="s">
        <v>752</v>
      </c>
      <c r="G372" s="2370" t="s">
        <v>580</v>
      </c>
      <c r="H372" s="549"/>
      <c r="I372" s="549">
        <v>167.87</v>
      </c>
      <c r="J372" s="549"/>
      <c r="K372" s="549"/>
      <c r="L372" s="549"/>
      <c r="M372" s="549"/>
      <c r="N372" s="549"/>
      <c r="O372" s="549"/>
      <c r="P372" s="1529" t="s">
        <v>581</v>
      </c>
      <c r="Q372" s="738"/>
      <c r="R372" s="1646"/>
      <c r="S372" s="1646"/>
      <c r="T372" s="1370"/>
      <c r="U372" s="1370"/>
      <c r="V372" s="1370"/>
      <c r="W372" s="1370"/>
      <c r="X372" s="1646"/>
      <c r="Y372" s="1370"/>
      <c r="Z372" s="1370"/>
      <c r="AA372" s="740"/>
      <c r="AB372" s="1370"/>
      <c r="AC372" s="1370"/>
      <c r="AD372" s="1370"/>
      <c r="AE372" s="1370"/>
      <c r="AF372" s="1370"/>
      <c r="AG372" s="1636"/>
      <c r="AH372" s="1636"/>
      <c r="AI372" s="1636"/>
      <c r="AJ372" s="1636"/>
      <c r="AK372" s="1636"/>
      <c r="AL372" s="1639">
        <v>0</v>
      </c>
    </row>
    <row s="1854" customFormat="1" customHeight="1" ht="22.5">
      <c r="A373" s="991"/>
      <c r="B373" s="1370"/>
      <c r="C373" s="1646"/>
      <c r="D373" s="687" t="s">
        <v>104</v>
      </c>
      <c r="E373" s="550" t="str">
        <f>E356&amp;".16"</f>
        <v>16.16</v>
      </c>
      <c r="F373" s="544" t="s">
        <v>753</v>
      </c>
      <c r="G373" s="2370" t="s">
        <v>580</v>
      </c>
      <c r="H373" s="549"/>
      <c r="I373" s="549">
        <v>156.5</v>
      </c>
      <c r="J373" s="549"/>
      <c r="K373" s="549"/>
      <c r="L373" s="549"/>
      <c r="M373" s="549"/>
      <c r="N373" s="549"/>
      <c r="O373" s="549"/>
      <c r="P373" s="1529" t="s">
        <v>581</v>
      </c>
      <c r="Q373" s="738"/>
      <c r="R373" s="1646"/>
      <c r="S373" s="1646"/>
      <c r="T373" s="1370"/>
      <c r="U373" s="1370"/>
      <c r="V373" s="1370"/>
      <c r="W373" s="1370"/>
      <c r="X373" s="1646"/>
      <c r="Y373" s="1370"/>
      <c r="Z373" s="1370"/>
      <c r="AA373" s="740"/>
      <c r="AB373" s="1370"/>
      <c r="AC373" s="1370"/>
      <c r="AD373" s="1370"/>
      <c r="AE373" s="1370"/>
      <c r="AF373" s="1370"/>
      <c r="AG373" s="1636"/>
      <c r="AH373" s="1636"/>
      <c r="AI373" s="1636"/>
      <c r="AJ373" s="1636"/>
      <c r="AK373" s="1636"/>
      <c r="AL373" s="1639">
        <v>0</v>
      </c>
    </row>
    <row s="1854" customFormat="1" customHeight="1" ht="22.5">
      <c r="A374" s="991"/>
      <c r="B374" s="1370"/>
      <c r="C374" s="1646"/>
      <c r="D374" s="687" t="s">
        <v>104</v>
      </c>
      <c r="E374" s="550" t="str">
        <f>E356&amp;".17"</f>
        <v>16.17</v>
      </c>
      <c r="F374" s="544" t="s">
        <v>754</v>
      </c>
      <c r="G374" s="2370" t="s">
        <v>580</v>
      </c>
      <c r="H374" s="549"/>
      <c r="I374" s="549">
        <v>159.28</v>
      </c>
      <c r="J374" s="549"/>
      <c r="K374" s="549"/>
      <c r="L374" s="549"/>
      <c r="M374" s="549"/>
      <c r="N374" s="549"/>
      <c r="O374" s="549"/>
      <c r="P374" s="1529" t="s">
        <v>581</v>
      </c>
      <c r="Q374" s="738"/>
      <c r="R374" s="1646"/>
      <c r="S374" s="1646"/>
      <c r="T374" s="1370"/>
      <c r="U374" s="1370"/>
      <c r="V374" s="1370"/>
      <c r="W374" s="1370"/>
      <c r="X374" s="1646"/>
      <c r="Y374" s="1370"/>
      <c r="Z374" s="1370"/>
      <c r="AA374" s="740"/>
      <c r="AB374" s="1370"/>
      <c r="AC374" s="1370"/>
      <c r="AD374" s="1370"/>
      <c r="AE374" s="1370"/>
      <c r="AF374" s="1370"/>
      <c r="AG374" s="1636"/>
      <c r="AH374" s="1636"/>
      <c r="AI374" s="1636"/>
      <c r="AJ374" s="1636"/>
      <c r="AK374" s="1636"/>
      <c r="AL374" s="1639">
        <v>0</v>
      </c>
    </row>
    <row s="1854" customFormat="1" customHeight="1" ht="22.5">
      <c r="A375" s="991"/>
      <c r="B375" s="1370"/>
      <c r="C375" s="1646"/>
      <c r="D375" s="687" t="s">
        <v>104</v>
      </c>
      <c r="E375" s="550" t="str">
        <f>E356&amp;".18"</f>
        <v>16.18</v>
      </c>
      <c r="F375" s="544" t="s">
        <v>755</v>
      </c>
      <c r="G375" s="2370" t="s">
        <v>580</v>
      </c>
      <c r="H375" s="549"/>
      <c r="I375" s="549">
        <v>158.92</v>
      </c>
      <c r="J375" s="549"/>
      <c r="K375" s="549"/>
      <c r="L375" s="549"/>
      <c r="M375" s="549"/>
      <c r="N375" s="549"/>
      <c r="O375" s="549"/>
      <c r="P375" s="1529" t="s">
        <v>581</v>
      </c>
      <c r="Q375" s="738"/>
      <c r="R375" s="1646"/>
      <c r="S375" s="1646"/>
      <c r="T375" s="1370"/>
      <c r="U375" s="1370"/>
      <c r="V375" s="1370"/>
      <c r="W375" s="1370"/>
      <c r="X375" s="1646"/>
      <c r="Y375" s="1370"/>
      <c r="Z375" s="1370"/>
      <c r="AA375" s="740"/>
      <c r="AB375" s="1370"/>
      <c r="AC375" s="1370"/>
      <c r="AD375" s="1370"/>
      <c r="AE375" s="1370"/>
      <c r="AF375" s="1370"/>
      <c r="AG375" s="1636"/>
      <c r="AH375" s="1636"/>
      <c r="AI375" s="1636"/>
      <c r="AJ375" s="1636"/>
      <c r="AK375" s="1636"/>
      <c r="AL375" s="1639">
        <v>0</v>
      </c>
    </row>
    <row s="1854" customFormat="1" customHeight="1" ht="22.5">
      <c r="A376" s="991"/>
      <c r="B376" s="1370"/>
      <c r="C376" s="1646"/>
      <c r="D376" s="687" t="s">
        <v>104</v>
      </c>
      <c r="E376" s="550" t="str">
        <f>E356&amp;".19"</f>
        <v>16.19</v>
      </c>
      <c r="F376" s="544" t="s">
        <v>756</v>
      </c>
      <c r="G376" s="2370" t="s">
        <v>580</v>
      </c>
      <c r="H376" s="549"/>
      <c r="I376" s="549">
        <v>163.49</v>
      </c>
      <c r="J376" s="549"/>
      <c r="K376" s="549"/>
      <c r="L376" s="549"/>
      <c r="M376" s="549"/>
      <c r="N376" s="549"/>
      <c r="O376" s="549"/>
      <c r="P376" s="1529" t="s">
        <v>581</v>
      </c>
      <c r="Q376" s="738"/>
      <c r="R376" s="1646"/>
      <c r="S376" s="1646"/>
      <c r="T376" s="1370"/>
      <c r="U376" s="1370"/>
      <c r="V376" s="1370"/>
      <c r="W376" s="1370"/>
      <c r="X376" s="1646"/>
      <c r="Y376" s="1370"/>
      <c r="Z376" s="1370"/>
      <c r="AA376" s="740"/>
      <c r="AB376" s="1370"/>
      <c r="AC376" s="1370"/>
      <c r="AD376" s="1370"/>
      <c r="AE376" s="1370"/>
      <c r="AF376" s="1370"/>
      <c r="AG376" s="1636"/>
      <c r="AH376" s="1636"/>
      <c r="AI376" s="1636"/>
      <c r="AJ376" s="1636"/>
      <c r="AK376" s="1636"/>
      <c r="AL376" s="1639">
        <v>0</v>
      </c>
    </row>
    <row s="1854" customFormat="1" customHeight="1" ht="22.5">
      <c r="A377" s="991"/>
      <c r="B377" s="1370"/>
      <c r="C377" s="1646"/>
      <c r="D377" s="687" t="s">
        <v>104</v>
      </c>
      <c r="E377" s="550" t="str">
        <f>E356&amp;".20"</f>
        <v>16.20</v>
      </c>
      <c r="F377" s="544" t="s">
        <v>757</v>
      </c>
      <c r="G377" s="2370" t="s">
        <v>580</v>
      </c>
      <c r="H377" s="549"/>
      <c r="I377" s="549">
        <v>159.96</v>
      </c>
      <c r="J377" s="549"/>
      <c r="K377" s="549"/>
      <c r="L377" s="549"/>
      <c r="M377" s="549"/>
      <c r="N377" s="549"/>
      <c r="O377" s="549"/>
      <c r="P377" s="1529" t="s">
        <v>581</v>
      </c>
      <c r="Q377" s="738"/>
      <c r="R377" s="1646"/>
      <c r="S377" s="1646"/>
      <c r="T377" s="1370"/>
      <c r="U377" s="1370"/>
      <c r="V377" s="1370"/>
      <c r="W377" s="1370"/>
      <c r="X377" s="1646"/>
      <c r="Y377" s="1370"/>
      <c r="Z377" s="1370"/>
      <c r="AA377" s="740"/>
      <c r="AB377" s="1370"/>
      <c r="AC377" s="1370"/>
      <c r="AD377" s="1370"/>
      <c r="AE377" s="1370"/>
      <c r="AF377" s="1370"/>
      <c r="AG377" s="1636"/>
      <c r="AH377" s="1636"/>
      <c r="AI377" s="1636"/>
      <c r="AJ377" s="1636"/>
      <c r="AK377" s="1636"/>
      <c r="AL377" s="1639">
        <v>0</v>
      </c>
    </row>
    <row s="1854" customFormat="1" customHeight="1" ht="22.5">
      <c r="A378" s="991"/>
      <c r="B378" s="1370"/>
      <c r="C378" s="1646"/>
      <c r="D378" s="687" t="s">
        <v>104</v>
      </c>
      <c r="E378" s="550" t="str">
        <f>E356&amp;".21"</f>
        <v>16.21</v>
      </c>
      <c r="F378" s="544" t="s">
        <v>758</v>
      </c>
      <c r="G378" s="2370" t="s">
        <v>580</v>
      </c>
      <c r="H378" s="549"/>
      <c r="I378" s="549">
        <v>159.12</v>
      </c>
      <c r="J378" s="549"/>
      <c r="K378" s="549"/>
      <c r="L378" s="549"/>
      <c r="M378" s="549"/>
      <c r="N378" s="549"/>
      <c r="O378" s="549"/>
      <c r="P378" s="1529" t="s">
        <v>581</v>
      </c>
      <c r="Q378" s="738"/>
      <c r="R378" s="1646"/>
      <c r="S378" s="1646"/>
      <c r="T378" s="1370"/>
      <c r="U378" s="1370"/>
      <c r="V378" s="1370"/>
      <c r="W378" s="1370"/>
      <c r="X378" s="1646"/>
      <c r="Y378" s="1370"/>
      <c r="Z378" s="1370"/>
      <c r="AA378" s="740"/>
      <c r="AB378" s="1370"/>
      <c r="AC378" s="1370"/>
      <c r="AD378" s="1370"/>
      <c r="AE378" s="1370"/>
      <c r="AF378" s="1370"/>
      <c r="AG378" s="1636"/>
      <c r="AH378" s="1636"/>
      <c r="AI378" s="1636"/>
      <c r="AJ378" s="1636"/>
      <c r="AK378" s="1636"/>
      <c r="AL378" s="1639">
        <v>0</v>
      </c>
    </row>
    <row s="1854" customFormat="1" customHeight="1" ht="22.5">
      <c r="A379" s="991"/>
      <c r="B379" s="1370"/>
      <c r="C379" s="1646"/>
      <c r="D379" s="687" t="s">
        <v>104</v>
      </c>
      <c r="E379" s="550" t="str">
        <f>E356&amp;".22"</f>
        <v>16.22</v>
      </c>
      <c r="F379" s="544" t="s">
        <v>759</v>
      </c>
      <c r="G379" s="2370" t="s">
        <v>580</v>
      </c>
      <c r="H379" s="549"/>
      <c r="I379" s="549">
        <v>159.91</v>
      </c>
      <c r="J379" s="549"/>
      <c r="K379" s="549"/>
      <c r="L379" s="549"/>
      <c r="M379" s="549"/>
      <c r="N379" s="549"/>
      <c r="O379" s="549"/>
      <c r="P379" s="1529" t="s">
        <v>581</v>
      </c>
      <c r="Q379" s="738"/>
      <c r="R379" s="1646"/>
      <c r="S379" s="1646"/>
      <c r="T379" s="1370"/>
      <c r="U379" s="1370"/>
      <c r="V379" s="1370"/>
      <c r="W379" s="1370"/>
      <c r="X379" s="1646"/>
      <c r="Y379" s="1370"/>
      <c r="Z379" s="1370"/>
      <c r="AA379" s="740"/>
      <c r="AB379" s="1370"/>
      <c r="AC379" s="1370"/>
      <c r="AD379" s="1370"/>
      <c r="AE379" s="1370"/>
      <c r="AF379" s="1370"/>
      <c r="AG379" s="1636"/>
      <c r="AH379" s="1636"/>
      <c r="AI379" s="1636"/>
      <c r="AJ379" s="1636"/>
      <c r="AK379" s="1636"/>
      <c r="AL379" s="1639">
        <v>0</v>
      </c>
    </row>
    <row s="1854" customFormat="1" customHeight="1" ht="22.5">
      <c r="A380" s="991"/>
      <c r="B380" s="1370"/>
      <c r="C380" s="1646"/>
      <c r="D380" s="687" t="s">
        <v>104</v>
      </c>
      <c r="E380" s="550" t="str">
        <f>E356&amp;".23"</f>
        <v>16.23</v>
      </c>
      <c r="F380" s="544" t="s">
        <v>760</v>
      </c>
      <c r="G380" s="2370" t="s">
        <v>580</v>
      </c>
      <c r="H380" s="549"/>
      <c r="I380" s="549">
        <v>146.38</v>
      </c>
      <c r="J380" s="549"/>
      <c r="K380" s="549"/>
      <c r="L380" s="549"/>
      <c r="M380" s="549"/>
      <c r="N380" s="549"/>
      <c r="O380" s="549"/>
      <c r="P380" s="1529" t="s">
        <v>581</v>
      </c>
      <c r="Q380" s="738"/>
      <c r="R380" s="1646"/>
      <c r="S380" s="1646"/>
      <c r="T380" s="1370"/>
      <c r="U380" s="1370"/>
      <c r="V380" s="1370"/>
      <c r="W380" s="1370"/>
      <c r="X380" s="1646"/>
      <c r="Y380" s="1370"/>
      <c r="Z380" s="1370"/>
      <c r="AA380" s="740"/>
      <c r="AB380" s="1370"/>
      <c r="AC380" s="1370"/>
      <c r="AD380" s="1370"/>
      <c r="AE380" s="1370"/>
      <c r="AF380" s="1370"/>
      <c r="AG380" s="1636"/>
      <c r="AH380" s="1636"/>
      <c r="AI380" s="1636"/>
      <c r="AJ380" s="1636"/>
      <c r="AK380" s="1636"/>
      <c r="AL380" s="1639">
        <v>0</v>
      </c>
    </row>
    <row s="1854" customFormat="1" customHeight="1" ht="22.5">
      <c r="A381" s="991"/>
      <c r="B381" s="1370"/>
      <c r="C381" s="1646"/>
      <c r="D381" s="687" t="s">
        <v>104</v>
      </c>
      <c r="E381" s="550" t="str">
        <f>E356&amp;".24"</f>
        <v>16.24</v>
      </c>
      <c r="F381" s="544" t="s">
        <v>761</v>
      </c>
      <c r="G381" s="2370" t="s">
        <v>580</v>
      </c>
      <c r="H381" s="549"/>
      <c r="I381" s="549">
        <v>159.86</v>
      </c>
      <c r="J381" s="549"/>
      <c r="K381" s="549"/>
      <c r="L381" s="549"/>
      <c r="M381" s="549"/>
      <c r="N381" s="549"/>
      <c r="O381" s="549"/>
      <c r="P381" s="1529" t="s">
        <v>581</v>
      </c>
      <c r="Q381" s="738"/>
      <c r="R381" s="1646"/>
      <c r="S381" s="1646"/>
      <c r="T381" s="1370"/>
      <c r="U381" s="1370"/>
      <c r="V381" s="1370"/>
      <c r="W381" s="1370"/>
      <c r="X381" s="1646"/>
      <c r="Y381" s="1370"/>
      <c r="Z381" s="1370"/>
      <c r="AA381" s="740"/>
      <c r="AB381" s="1370"/>
      <c r="AC381" s="1370"/>
      <c r="AD381" s="1370"/>
      <c r="AE381" s="1370"/>
      <c r="AF381" s="1370"/>
      <c r="AG381" s="1636"/>
      <c r="AH381" s="1636"/>
      <c r="AI381" s="1636"/>
      <c r="AJ381" s="1636"/>
      <c r="AK381" s="1636"/>
      <c r="AL381" s="1639">
        <v>0</v>
      </c>
    </row>
    <row s="1854" customFormat="1" customHeight="1" ht="22.5">
      <c r="A382" s="991"/>
      <c r="B382" s="1370"/>
      <c r="C382" s="1646"/>
      <c r="D382" s="687" t="s">
        <v>104</v>
      </c>
      <c r="E382" s="550" t="str">
        <f>E356&amp;".25"</f>
        <v>16.25</v>
      </c>
      <c r="F382" s="544" t="s">
        <v>762</v>
      </c>
      <c r="G382" s="2370" t="s">
        <v>580</v>
      </c>
      <c r="H382" s="549"/>
      <c r="I382" s="549">
        <v>157.38</v>
      </c>
      <c r="J382" s="549"/>
      <c r="K382" s="549"/>
      <c r="L382" s="549"/>
      <c r="M382" s="549"/>
      <c r="N382" s="549"/>
      <c r="O382" s="549"/>
      <c r="P382" s="1529" t="s">
        <v>581</v>
      </c>
      <c r="Q382" s="738"/>
      <c r="R382" s="1646"/>
      <c r="S382" s="1646"/>
      <c r="T382" s="1370"/>
      <c r="U382" s="1370"/>
      <c r="V382" s="1370"/>
      <c r="W382" s="1370"/>
      <c r="X382" s="1646"/>
      <c r="Y382" s="1370"/>
      <c r="Z382" s="1370"/>
      <c r="AA382" s="740"/>
      <c r="AB382" s="1370"/>
      <c r="AC382" s="1370"/>
      <c r="AD382" s="1370"/>
      <c r="AE382" s="1370"/>
      <c r="AF382" s="1370"/>
      <c r="AG382" s="1636"/>
      <c r="AH382" s="1636"/>
      <c r="AI382" s="1636"/>
      <c r="AJ382" s="1636"/>
      <c r="AK382" s="1636"/>
      <c r="AL382" s="1639">
        <v>0</v>
      </c>
    </row>
    <row s="1854" customFormat="1" customHeight="1" ht="22.5">
      <c r="A383" s="991"/>
      <c r="B383" s="1370"/>
      <c r="C383" s="1646"/>
      <c r="D383" s="687" t="s">
        <v>104</v>
      </c>
      <c r="E383" s="550" t="str">
        <f>E356&amp;".26"</f>
        <v>16.26</v>
      </c>
      <c r="F383" s="544" t="s">
        <v>763</v>
      </c>
      <c r="G383" s="2370" t="s">
        <v>580</v>
      </c>
      <c r="H383" s="549"/>
      <c r="I383" s="549">
        <v>159.5</v>
      </c>
      <c r="J383" s="549"/>
      <c r="K383" s="549"/>
      <c r="L383" s="549"/>
      <c r="M383" s="549"/>
      <c r="N383" s="549"/>
      <c r="O383" s="549"/>
      <c r="P383" s="1529" t="s">
        <v>581</v>
      </c>
      <c r="Q383" s="738"/>
      <c r="R383" s="1646"/>
      <c r="S383" s="1646"/>
      <c r="T383" s="1370"/>
      <c r="U383" s="1370"/>
      <c r="V383" s="1370"/>
      <c r="W383" s="1370"/>
      <c r="X383" s="1646"/>
      <c r="Y383" s="1370"/>
      <c r="Z383" s="1370"/>
      <c r="AA383" s="740"/>
      <c r="AB383" s="1370"/>
      <c r="AC383" s="1370"/>
      <c r="AD383" s="1370"/>
      <c r="AE383" s="1370"/>
      <c r="AF383" s="1370"/>
      <c r="AG383" s="1636"/>
      <c r="AH383" s="1636"/>
      <c r="AI383" s="1636"/>
      <c r="AJ383" s="1636"/>
      <c r="AK383" s="1636"/>
      <c r="AL383" s="1639">
        <v>0</v>
      </c>
    </row>
    <row s="1854" customFormat="1" customHeight="1" ht="22.5">
      <c r="A384" s="991"/>
      <c r="B384" s="1370"/>
      <c r="C384" s="1646"/>
      <c r="D384" s="687" t="s">
        <v>104</v>
      </c>
      <c r="E384" s="550" t="str">
        <f>E356&amp;".27"</f>
        <v>16.27</v>
      </c>
      <c r="F384" s="544" t="s">
        <v>764</v>
      </c>
      <c r="G384" s="2370" t="s">
        <v>580</v>
      </c>
      <c r="H384" s="549"/>
      <c r="I384" s="549">
        <v>158.38</v>
      </c>
      <c r="J384" s="549"/>
      <c r="K384" s="549"/>
      <c r="L384" s="549"/>
      <c r="M384" s="549"/>
      <c r="N384" s="549"/>
      <c r="O384" s="549"/>
      <c r="P384" s="1529" t="s">
        <v>581</v>
      </c>
      <c r="Q384" s="738"/>
      <c r="R384" s="1646"/>
      <c r="S384" s="1646"/>
      <c r="T384" s="1370"/>
      <c r="U384" s="1370"/>
      <c r="V384" s="1370"/>
      <c r="W384" s="1370"/>
      <c r="X384" s="1646"/>
      <c r="Y384" s="1370"/>
      <c r="Z384" s="1370"/>
      <c r="AA384" s="740"/>
      <c r="AB384" s="1370"/>
      <c r="AC384" s="1370"/>
      <c r="AD384" s="1370"/>
      <c r="AE384" s="1370"/>
      <c r="AF384" s="1370"/>
      <c r="AG384" s="1636"/>
      <c r="AH384" s="1636"/>
      <c r="AI384" s="1636"/>
      <c r="AJ384" s="1636"/>
      <c r="AK384" s="1636"/>
      <c r="AL384" s="1639">
        <v>0</v>
      </c>
    </row>
    <row s="1854" customFormat="1" customHeight="1" ht="22.5">
      <c r="A385" s="991"/>
      <c r="B385" s="1370"/>
      <c r="C385" s="1646"/>
      <c r="D385" s="687" t="s">
        <v>104</v>
      </c>
      <c r="E385" s="550" t="str">
        <f>E356&amp;".28"</f>
        <v>16.28</v>
      </c>
      <c r="F385" s="544" t="s">
        <v>765</v>
      </c>
      <c r="G385" s="2370" t="s">
        <v>580</v>
      </c>
      <c r="H385" s="549"/>
      <c r="I385" s="549">
        <v>171.04</v>
      </c>
      <c r="J385" s="549"/>
      <c r="K385" s="549"/>
      <c r="L385" s="549"/>
      <c r="M385" s="549"/>
      <c r="N385" s="549"/>
      <c r="O385" s="549"/>
      <c r="P385" s="1529" t="s">
        <v>581</v>
      </c>
      <c r="Q385" s="738"/>
      <c r="R385" s="1646"/>
      <c r="S385" s="1646"/>
      <c r="T385" s="1370"/>
      <c r="U385" s="1370"/>
      <c r="V385" s="1370"/>
      <c r="W385" s="1370"/>
      <c r="X385" s="1646"/>
      <c r="Y385" s="1370"/>
      <c r="Z385" s="1370"/>
      <c r="AA385" s="740"/>
      <c r="AB385" s="1370"/>
      <c r="AC385" s="1370"/>
      <c r="AD385" s="1370"/>
      <c r="AE385" s="1370"/>
      <c r="AF385" s="1370"/>
      <c r="AG385" s="1636"/>
      <c r="AH385" s="1636"/>
      <c r="AI385" s="1636"/>
      <c r="AJ385" s="1636"/>
      <c r="AK385" s="1636"/>
      <c r="AL385" s="1639">
        <v>0</v>
      </c>
    </row>
    <row s="1854" customFormat="1" customHeight="1" ht="22.5">
      <c r="A386" s="991"/>
      <c r="B386" s="1370"/>
      <c r="C386" s="1646"/>
      <c r="D386" s="687" t="s">
        <v>104</v>
      </c>
      <c r="E386" s="550" t="str">
        <f>E356&amp;".29"</f>
        <v>16.29</v>
      </c>
      <c r="F386" s="544" t="s">
        <v>766</v>
      </c>
      <c r="G386" s="2370" t="s">
        <v>580</v>
      </c>
      <c r="H386" s="549"/>
      <c r="I386" s="549">
        <v>158.81</v>
      </c>
      <c r="J386" s="549"/>
      <c r="K386" s="549"/>
      <c r="L386" s="549"/>
      <c r="M386" s="549"/>
      <c r="N386" s="549"/>
      <c r="O386" s="549"/>
      <c r="P386" s="1529" t="s">
        <v>581</v>
      </c>
      <c r="Q386" s="738"/>
      <c r="R386" s="1646"/>
      <c r="S386" s="1646"/>
      <c r="T386" s="1370"/>
      <c r="U386" s="1370"/>
      <c r="V386" s="1370"/>
      <c r="W386" s="1370"/>
      <c r="X386" s="1646"/>
      <c r="Y386" s="1370"/>
      <c r="Z386" s="1370"/>
      <c r="AA386" s="740"/>
      <c r="AB386" s="1370"/>
      <c r="AC386" s="1370"/>
      <c r="AD386" s="1370"/>
      <c r="AE386" s="1370"/>
      <c r="AF386" s="1370"/>
      <c r="AG386" s="1636"/>
      <c r="AH386" s="1636"/>
      <c r="AI386" s="1636"/>
      <c r="AJ386" s="1636"/>
      <c r="AK386" s="1636"/>
      <c r="AL386" s="1639">
        <v>0</v>
      </c>
    </row>
    <row s="1854" customFormat="1" customHeight="1" ht="22.5">
      <c r="A387" s="991"/>
      <c r="B387" s="1370"/>
      <c r="C387" s="1646"/>
      <c r="D387" s="687" t="s">
        <v>104</v>
      </c>
      <c r="E387" s="550" t="str">
        <f>E356&amp;".30"</f>
        <v>16.30</v>
      </c>
      <c r="F387" s="544" t="s">
        <v>767</v>
      </c>
      <c r="G387" s="2370" t="s">
        <v>580</v>
      </c>
      <c r="H387" s="549"/>
      <c r="I387" s="549">
        <v>160.19</v>
      </c>
      <c r="J387" s="549"/>
      <c r="K387" s="549"/>
      <c r="L387" s="549"/>
      <c r="M387" s="549"/>
      <c r="N387" s="549"/>
      <c r="O387" s="549"/>
      <c r="P387" s="1529" t="s">
        <v>581</v>
      </c>
      <c r="Q387" s="738"/>
      <c r="R387" s="1646"/>
      <c r="S387" s="1646"/>
      <c r="T387" s="1370"/>
      <c r="U387" s="1370"/>
      <c r="V387" s="1370"/>
      <c r="W387" s="1370"/>
      <c r="X387" s="1646"/>
      <c r="Y387" s="1370"/>
      <c r="Z387" s="1370"/>
      <c r="AA387" s="740"/>
      <c r="AB387" s="1370"/>
      <c r="AC387" s="1370"/>
      <c r="AD387" s="1370"/>
      <c r="AE387" s="1370"/>
      <c r="AF387" s="1370"/>
      <c r="AG387" s="1636"/>
      <c r="AH387" s="1636"/>
      <c r="AI387" s="1636"/>
      <c r="AJ387" s="1636"/>
      <c r="AK387" s="1636"/>
      <c r="AL387" s="1639">
        <v>0</v>
      </c>
    </row>
    <row s="1854" customFormat="1" customHeight="1" ht="22.5">
      <c r="A388" s="991"/>
      <c r="B388" s="1370"/>
      <c r="C388" s="1646"/>
      <c r="D388" s="687" t="s">
        <v>104</v>
      </c>
      <c r="E388" s="550" t="str">
        <f>E356&amp;".31"</f>
        <v>16.31</v>
      </c>
      <c r="F388" s="544" t="s">
        <v>768</v>
      </c>
      <c r="G388" s="2370" t="s">
        <v>580</v>
      </c>
      <c r="H388" s="549"/>
      <c r="I388" s="549">
        <v>162.57</v>
      </c>
      <c r="J388" s="549"/>
      <c r="K388" s="549"/>
      <c r="L388" s="549"/>
      <c r="M388" s="549"/>
      <c r="N388" s="549"/>
      <c r="O388" s="549"/>
      <c r="P388" s="1529" t="s">
        <v>581</v>
      </c>
      <c r="Q388" s="738"/>
      <c r="R388" s="1646"/>
      <c r="S388" s="1646"/>
      <c r="T388" s="1370"/>
      <c r="U388" s="1370"/>
      <c r="V388" s="1370"/>
      <c r="W388" s="1370"/>
      <c r="X388" s="1646"/>
      <c r="Y388" s="1370"/>
      <c r="Z388" s="1370"/>
      <c r="AA388" s="740"/>
      <c r="AB388" s="1370"/>
      <c r="AC388" s="1370"/>
      <c r="AD388" s="1370"/>
      <c r="AE388" s="1370"/>
      <c r="AF388" s="1370"/>
      <c r="AG388" s="1636"/>
      <c r="AH388" s="1636"/>
      <c r="AI388" s="1636"/>
      <c r="AJ388" s="1636"/>
      <c r="AK388" s="1636"/>
      <c r="AL388" s="1639">
        <v>0</v>
      </c>
    </row>
    <row s="1854" customFormat="1" customHeight="1" ht="22.5">
      <c r="A389" s="991"/>
      <c r="B389" s="1370"/>
      <c r="C389" s="1646"/>
      <c r="D389" s="687" t="s">
        <v>104</v>
      </c>
      <c r="E389" s="550" t="str">
        <f>E356&amp;".32"</f>
        <v>16.32</v>
      </c>
      <c r="F389" s="544" t="s">
        <v>769</v>
      </c>
      <c r="G389" s="2370" t="s">
        <v>580</v>
      </c>
      <c r="H389" s="549"/>
      <c r="I389" s="549">
        <v>208.81</v>
      </c>
      <c r="J389" s="549"/>
      <c r="K389" s="549"/>
      <c r="L389" s="549"/>
      <c r="M389" s="549"/>
      <c r="N389" s="549"/>
      <c r="O389" s="549"/>
      <c r="P389" s="1529" t="s">
        <v>581</v>
      </c>
      <c r="Q389" s="738"/>
      <c r="R389" s="1646"/>
      <c r="S389" s="1646"/>
      <c r="T389" s="1370"/>
      <c r="U389" s="1370"/>
      <c r="V389" s="1370"/>
      <c r="W389" s="1370"/>
      <c r="X389" s="1646"/>
      <c r="Y389" s="1370"/>
      <c r="Z389" s="1370"/>
      <c r="AA389" s="740"/>
      <c r="AB389" s="1370"/>
      <c r="AC389" s="1370"/>
      <c r="AD389" s="1370"/>
      <c r="AE389" s="1370"/>
      <c r="AF389" s="1370"/>
      <c r="AG389" s="1636"/>
      <c r="AH389" s="1636"/>
      <c r="AI389" s="1636"/>
      <c r="AJ389" s="1636"/>
      <c r="AK389" s="1636"/>
      <c r="AL389" s="1639">
        <v>0</v>
      </c>
    </row>
    <row s="1854" customFormat="1" customHeight="1" ht="22.5">
      <c r="A390" s="991"/>
      <c r="B390" s="1370"/>
      <c r="C390" s="1646"/>
      <c r="D390" s="687" t="s">
        <v>104</v>
      </c>
      <c r="E390" s="550" t="str">
        <f>E356&amp;".33"</f>
        <v>16.33</v>
      </c>
      <c r="F390" s="544" t="s">
        <v>770</v>
      </c>
      <c r="G390" s="2370" t="s">
        <v>580</v>
      </c>
      <c r="H390" s="549"/>
      <c r="I390" s="549">
        <v>162.75</v>
      </c>
      <c r="J390" s="549"/>
      <c r="K390" s="549"/>
      <c r="L390" s="549"/>
      <c r="M390" s="549"/>
      <c r="N390" s="549"/>
      <c r="O390" s="549"/>
      <c r="P390" s="1529" t="s">
        <v>581</v>
      </c>
      <c r="Q390" s="738"/>
      <c r="R390" s="1646"/>
      <c r="S390" s="1646"/>
      <c r="T390" s="1370"/>
      <c r="U390" s="1370"/>
      <c r="V390" s="1370"/>
      <c r="W390" s="1370"/>
      <c r="X390" s="1646"/>
      <c r="Y390" s="1370"/>
      <c r="Z390" s="1370"/>
      <c r="AA390" s="740"/>
      <c r="AB390" s="1370"/>
      <c r="AC390" s="1370"/>
      <c r="AD390" s="1370"/>
      <c r="AE390" s="1370"/>
      <c r="AF390" s="1370"/>
      <c r="AG390" s="1636"/>
      <c r="AH390" s="1636"/>
      <c r="AI390" s="1636"/>
      <c r="AJ390" s="1636"/>
      <c r="AK390" s="1636"/>
      <c r="AL390" s="1639">
        <v>0</v>
      </c>
    </row>
    <row s="1854" customFormat="1" customHeight="1" ht="22.5">
      <c r="A391" s="991"/>
      <c r="B391" s="1370"/>
      <c r="C391" s="1646"/>
      <c r="D391" s="687" t="s">
        <v>104</v>
      </c>
      <c r="E391" s="550" t="str">
        <f>E356&amp;".34"</f>
        <v>16.34</v>
      </c>
      <c r="F391" s="544" t="s">
        <v>771</v>
      </c>
      <c r="G391" s="2370" t="s">
        <v>580</v>
      </c>
      <c r="H391" s="549"/>
      <c r="I391" s="549">
        <v>168.73</v>
      </c>
      <c r="J391" s="549"/>
      <c r="K391" s="549"/>
      <c r="L391" s="549"/>
      <c r="M391" s="549"/>
      <c r="N391" s="549"/>
      <c r="O391" s="549"/>
      <c r="P391" s="1529" t="s">
        <v>581</v>
      </c>
      <c r="Q391" s="738"/>
      <c r="R391" s="1646"/>
      <c r="S391" s="1646"/>
      <c r="T391" s="1370"/>
      <c r="U391" s="1370"/>
      <c r="V391" s="1370"/>
      <c r="W391" s="1370"/>
      <c r="X391" s="1646"/>
      <c r="Y391" s="1370"/>
      <c r="Z391" s="1370"/>
      <c r="AA391" s="740"/>
      <c r="AB391" s="1370"/>
      <c r="AC391" s="1370"/>
      <c r="AD391" s="1370"/>
      <c r="AE391" s="1370"/>
      <c r="AF391" s="1370"/>
      <c r="AG391" s="1636"/>
      <c r="AH391" s="1636"/>
      <c r="AI391" s="1636"/>
      <c r="AJ391" s="1636"/>
      <c r="AK391" s="1636"/>
      <c r="AL391" s="1639">
        <v>0</v>
      </c>
    </row>
    <row s="1854" customFormat="1" customHeight="1" ht="22.5">
      <c r="A392" s="991"/>
      <c r="B392" s="1370"/>
      <c r="C392" s="1646"/>
      <c r="D392" s="687" t="s">
        <v>104</v>
      </c>
      <c r="E392" s="550" t="str">
        <f>E356&amp;".35"</f>
        <v>16.35</v>
      </c>
      <c r="F392" s="544" t="s">
        <v>772</v>
      </c>
      <c r="G392" s="2370" t="s">
        <v>580</v>
      </c>
      <c r="H392" s="549"/>
      <c r="I392" s="549">
        <v>157.57</v>
      </c>
      <c r="J392" s="549"/>
      <c r="K392" s="549"/>
      <c r="L392" s="549"/>
      <c r="M392" s="549"/>
      <c r="N392" s="549"/>
      <c r="O392" s="549"/>
      <c r="P392" s="1529" t="s">
        <v>581</v>
      </c>
      <c r="Q392" s="738"/>
      <c r="R392" s="1646"/>
      <c r="S392" s="1646"/>
      <c r="T392" s="1370"/>
      <c r="U392" s="1370"/>
      <c r="V392" s="1370"/>
      <c r="W392" s="1370"/>
      <c r="X392" s="1646"/>
      <c r="Y392" s="1370"/>
      <c r="Z392" s="1370"/>
      <c r="AA392" s="740"/>
      <c r="AB392" s="1370"/>
      <c r="AC392" s="1370"/>
      <c r="AD392" s="1370"/>
      <c r="AE392" s="1370"/>
      <c r="AF392" s="1370"/>
      <c r="AG392" s="1636"/>
      <c r="AH392" s="1636"/>
      <c r="AI392" s="1636"/>
      <c r="AJ392" s="1636"/>
      <c r="AK392" s="1636"/>
      <c r="AL392" s="1639">
        <v>0</v>
      </c>
    </row>
    <row s="1854" customFormat="1" customHeight="1" ht="22.5">
      <c r="A393" s="991"/>
      <c r="B393" s="1370"/>
      <c r="C393" s="1646"/>
      <c r="D393" s="687" t="s">
        <v>104</v>
      </c>
      <c r="E393" s="550" t="str">
        <f>E356&amp;".36"</f>
        <v>16.36</v>
      </c>
      <c r="F393" s="544" t="s">
        <v>773</v>
      </c>
      <c r="G393" s="2370" t="s">
        <v>580</v>
      </c>
      <c r="H393" s="549"/>
      <c r="I393" s="549">
        <v>160.26</v>
      </c>
      <c r="J393" s="549"/>
      <c r="K393" s="549"/>
      <c r="L393" s="549"/>
      <c r="M393" s="549"/>
      <c r="N393" s="549"/>
      <c r="O393" s="549"/>
      <c r="P393" s="1529" t="s">
        <v>581</v>
      </c>
      <c r="Q393" s="738"/>
      <c r="R393" s="1646"/>
      <c r="S393" s="1646"/>
      <c r="T393" s="1370"/>
      <c r="U393" s="1370"/>
      <c r="V393" s="1370"/>
      <c r="W393" s="1370"/>
      <c r="X393" s="1646"/>
      <c r="Y393" s="1370"/>
      <c r="Z393" s="1370"/>
      <c r="AA393" s="740"/>
      <c r="AB393" s="1370"/>
      <c r="AC393" s="1370"/>
      <c r="AD393" s="1370"/>
      <c r="AE393" s="1370"/>
      <c r="AF393" s="1370"/>
      <c r="AG393" s="1636"/>
      <c r="AH393" s="1636"/>
      <c r="AI393" s="1636"/>
      <c r="AJ393" s="1636"/>
      <c r="AK393" s="1636"/>
      <c r="AL393" s="1639">
        <v>0</v>
      </c>
    </row>
    <row s="1854" customFormat="1" customHeight="1" ht="22.5">
      <c r="A394" s="991"/>
      <c r="B394" s="1370"/>
      <c r="C394" s="1646"/>
      <c r="D394" s="687" t="s">
        <v>104</v>
      </c>
      <c r="E394" s="550" t="str">
        <f>E356&amp;".37"</f>
        <v>16.37</v>
      </c>
      <c r="F394" s="544" t="s">
        <v>774</v>
      </c>
      <c r="G394" s="2370" t="s">
        <v>580</v>
      </c>
      <c r="H394" s="549"/>
      <c r="I394" s="549">
        <v>163</v>
      </c>
      <c r="J394" s="549"/>
      <c r="K394" s="549"/>
      <c r="L394" s="549"/>
      <c r="M394" s="549"/>
      <c r="N394" s="549"/>
      <c r="O394" s="549"/>
      <c r="P394" s="1529" t="s">
        <v>581</v>
      </c>
      <c r="Q394" s="738"/>
      <c r="R394" s="1646"/>
      <c r="S394" s="1646"/>
      <c r="T394" s="1370"/>
      <c r="U394" s="1370"/>
      <c r="V394" s="1370"/>
      <c r="W394" s="1370"/>
      <c r="X394" s="1646"/>
      <c r="Y394" s="1370"/>
      <c r="Z394" s="1370"/>
      <c r="AA394" s="740"/>
      <c r="AB394" s="1370"/>
      <c r="AC394" s="1370"/>
      <c r="AD394" s="1370"/>
      <c r="AE394" s="1370"/>
      <c r="AF394" s="1370"/>
      <c r="AG394" s="1636"/>
      <c r="AH394" s="1636"/>
      <c r="AI394" s="1636"/>
      <c r="AJ394" s="1636"/>
      <c r="AK394" s="1636"/>
      <c r="AL394" s="1639">
        <v>0</v>
      </c>
    </row>
    <row s="1854" customFormat="1" customHeight="1" ht="22.5">
      <c r="A395" s="991"/>
      <c r="B395" s="1370"/>
      <c r="C395" s="1646"/>
      <c r="D395" s="687" t="s">
        <v>104</v>
      </c>
      <c r="E395" s="550" t="str">
        <f>E356&amp;".38"</f>
        <v>16.38</v>
      </c>
      <c r="F395" s="544" t="s">
        <v>775</v>
      </c>
      <c r="G395" s="2370" t="s">
        <v>580</v>
      </c>
      <c r="H395" s="549"/>
      <c r="I395" s="549">
        <v>168.51</v>
      </c>
      <c r="J395" s="549"/>
      <c r="K395" s="549"/>
      <c r="L395" s="549"/>
      <c r="M395" s="549"/>
      <c r="N395" s="549"/>
      <c r="O395" s="549"/>
      <c r="P395" s="1529" t="s">
        <v>581</v>
      </c>
      <c r="Q395" s="738"/>
      <c r="R395" s="1646"/>
      <c r="S395" s="1646"/>
      <c r="T395" s="1370"/>
      <c r="U395" s="1370"/>
      <c r="V395" s="1370"/>
      <c r="W395" s="1370"/>
      <c r="X395" s="1646"/>
      <c r="Y395" s="1370"/>
      <c r="Z395" s="1370"/>
      <c r="AA395" s="740"/>
      <c r="AB395" s="1370"/>
      <c r="AC395" s="1370"/>
      <c r="AD395" s="1370"/>
      <c r="AE395" s="1370"/>
      <c r="AF395" s="1370"/>
      <c r="AG395" s="1636"/>
      <c r="AH395" s="1636"/>
      <c r="AI395" s="1636"/>
      <c r="AJ395" s="1636"/>
      <c r="AK395" s="1636"/>
      <c r="AL395" s="1639">
        <v>0</v>
      </c>
    </row>
    <row s="1854" customFormat="1" customHeight="1" ht="22.5">
      <c r="A396" s="991"/>
      <c r="B396" s="1370"/>
      <c r="C396" s="1646"/>
      <c r="D396" s="687" t="s">
        <v>104</v>
      </c>
      <c r="E396" s="550" t="str">
        <f>E356&amp;".39"</f>
        <v>16.39</v>
      </c>
      <c r="F396" s="544" t="s">
        <v>776</v>
      </c>
      <c r="G396" s="2370" t="s">
        <v>580</v>
      </c>
      <c r="H396" s="549"/>
      <c r="I396" s="549">
        <v>158.62</v>
      </c>
      <c r="J396" s="549"/>
      <c r="K396" s="549"/>
      <c r="L396" s="549"/>
      <c r="M396" s="549"/>
      <c r="N396" s="549"/>
      <c r="O396" s="549"/>
      <c r="P396" s="1529" t="s">
        <v>581</v>
      </c>
      <c r="Q396" s="738"/>
      <c r="R396" s="1646"/>
      <c r="S396" s="1646"/>
      <c r="T396" s="1370"/>
      <c r="U396" s="1370"/>
      <c r="V396" s="1370"/>
      <c r="W396" s="1370"/>
      <c r="X396" s="1646"/>
      <c r="Y396" s="1370"/>
      <c r="Z396" s="1370"/>
      <c r="AA396" s="740"/>
      <c r="AB396" s="1370"/>
      <c r="AC396" s="1370"/>
      <c r="AD396" s="1370"/>
      <c r="AE396" s="1370"/>
      <c r="AF396" s="1370"/>
      <c r="AG396" s="1636"/>
      <c r="AH396" s="1636"/>
      <c r="AI396" s="1636"/>
      <c r="AJ396" s="1636"/>
      <c r="AK396" s="1636"/>
      <c r="AL396" s="1639">
        <v>0</v>
      </c>
    </row>
    <row s="1854" customFormat="1" customHeight="1" ht="22.5">
      <c r="A397" s="991"/>
      <c r="B397" s="1370"/>
      <c r="C397" s="1646"/>
      <c r="D397" s="687" t="s">
        <v>104</v>
      </c>
      <c r="E397" s="550" t="str">
        <f>E356&amp;".40"</f>
        <v>16.40</v>
      </c>
      <c r="F397" s="544" t="s">
        <v>777</v>
      </c>
      <c r="G397" s="2370" t="s">
        <v>580</v>
      </c>
      <c r="H397" s="549"/>
      <c r="I397" s="549">
        <v>157.52</v>
      </c>
      <c r="J397" s="549"/>
      <c r="K397" s="549"/>
      <c r="L397" s="549"/>
      <c r="M397" s="549"/>
      <c r="N397" s="549"/>
      <c r="O397" s="549"/>
      <c r="P397" s="1529" t="s">
        <v>581</v>
      </c>
      <c r="Q397" s="738"/>
      <c r="R397" s="1646"/>
      <c r="S397" s="1646"/>
      <c r="T397" s="1370"/>
      <c r="U397" s="1370"/>
      <c r="V397" s="1370"/>
      <c r="W397" s="1370"/>
      <c r="X397" s="1646"/>
      <c r="Y397" s="1370"/>
      <c r="Z397" s="1370"/>
      <c r="AA397" s="740"/>
      <c r="AB397" s="1370"/>
      <c r="AC397" s="1370"/>
      <c r="AD397" s="1370"/>
      <c r="AE397" s="1370"/>
      <c r="AF397" s="1370"/>
      <c r="AG397" s="1636"/>
      <c r="AH397" s="1636"/>
      <c r="AI397" s="1636"/>
      <c r="AJ397" s="1636"/>
      <c r="AK397" s="1636"/>
      <c r="AL397" s="1639">
        <v>0</v>
      </c>
    </row>
    <row s="1854" customFormat="1" customHeight="1" ht="22.5">
      <c r="A398" s="991"/>
      <c r="B398" s="1370"/>
      <c r="C398" s="1646"/>
      <c r="D398" s="687" t="s">
        <v>104</v>
      </c>
      <c r="E398" s="550" t="str">
        <f>E356&amp;".41"</f>
        <v>16.41</v>
      </c>
      <c r="F398" s="544" t="s">
        <v>778</v>
      </c>
      <c r="G398" s="2370" t="s">
        <v>580</v>
      </c>
      <c r="H398" s="549"/>
      <c r="I398" s="549">
        <v>157.41</v>
      </c>
      <c r="J398" s="549"/>
      <c r="K398" s="549"/>
      <c r="L398" s="549"/>
      <c r="M398" s="549"/>
      <c r="N398" s="549"/>
      <c r="O398" s="549"/>
      <c r="P398" s="1529" t="s">
        <v>581</v>
      </c>
      <c r="Q398" s="738"/>
      <c r="R398" s="1646"/>
      <c r="S398" s="1646"/>
      <c r="T398" s="1370"/>
      <c r="U398" s="1370"/>
      <c r="V398" s="1370"/>
      <c r="W398" s="1370"/>
      <c r="X398" s="1646"/>
      <c r="Y398" s="1370"/>
      <c r="Z398" s="1370"/>
      <c r="AA398" s="740"/>
      <c r="AB398" s="1370"/>
      <c r="AC398" s="1370"/>
      <c r="AD398" s="1370"/>
      <c r="AE398" s="1370"/>
      <c r="AF398" s="1370"/>
      <c r="AG398" s="1636"/>
      <c r="AH398" s="1636"/>
      <c r="AI398" s="1636"/>
      <c r="AJ398" s="1636"/>
      <c r="AK398" s="1636"/>
      <c r="AL398" s="1639">
        <v>0</v>
      </c>
    </row>
    <row s="1854" customFormat="1" customHeight="1" ht="22.5">
      <c r="A399" s="991"/>
      <c r="B399" s="1370"/>
      <c r="C399" s="1646"/>
      <c r="D399" s="687" t="s">
        <v>104</v>
      </c>
      <c r="E399" s="550" t="str">
        <f>E356&amp;".42"</f>
        <v>16.42</v>
      </c>
      <c r="F399" s="544" t="s">
        <v>779</v>
      </c>
      <c r="G399" s="2370" t="s">
        <v>580</v>
      </c>
      <c r="H399" s="549"/>
      <c r="I399" s="549">
        <v>148.13</v>
      </c>
      <c r="J399" s="549"/>
      <c r="K399" s="549"/>
      <c r="L399" s="549"/>
      <c r="M399" s="549"/>
      <c r="N399" s="549"/>
      <c r="O399" s="549"/>
      <c r="P399" s="1529" t="s">
        <v>581</v>
      </c>
      <c r="Q399" s="738"/>
      <c r="R399" s="1646"/>
      <c r="S399" s="1646"/>
      <c r="T399" s="1370"/>
      <c r="U399" s="1370"/>
      <c r="V399" s="1370"/>
      <c r="W399" s="1370"/>
      <c r="X399" s="1646"/>
      <c r="Y399" s="1370"/>
      <c r="Z399" s="1370"/>
      <c r="AA399" s="740"/>
      <c r="AB399" s="1370"/>
      <c r="AC399" s="1370"/>
      <c r="AD399" s="1370"/>
      <c r="AE399" s="1370"/>
      <c r="AF399" s="1370"/>
      <c r="AG399" s="1636"/>
      <c r="AH399" s="1636"/>
      <c r="AI399" s="1636"/>
      <c r="AJ399" s="1636"/>
      <c r="AK399" s="1636"/>
      <c r="AL399" s="1639">
        <v>0</v>
      </c>
    </row>
    <row s="1854" customFormat="1" customHeight="1" ht="22.5">
      <c r="A400" s="991"/>
      <c r="B400" s="1370"/>
      <c r="C400" s="1646"/>
      <c r="D400" s="687" t="s">
        <v>104</v>
      </c>
      <c r="E400" s="550" t="str">
        <f>E356&amp;".43"</f>
        <v>16.43</v>
      </c>
      <c r="F400" s="544" t="s">
        <v>780</v>
      </c>
      <c r="G400" s="2370" t="s">
        <v>580</v>
      </c>
      <c r="H400" s="549"/>
      <c r="I400" s="549">
        <v>164.81</v>
      </c>
      <c r="J400" s="549"/>
      <c r="K400" s="549"/>
      <c r="L400" s="549"/>
      <c r="M400" s="549"/>
      <c r="N400" s="549"/>
      <c r="O400" s="549"/>
      <c r="P400" s="1529" t="s">
        <v>581</v>
      </c>
      <c r="Q400" s="738"/>
      <c r="R400" s="1646"/>
      <c r="S400" s="1646"/>
      <c r="T400" s="1370"/>
      <c r="U400" s="1370"/>
      <c r="V400" s="1370"/>
      <c r="W400" s="1370"/>
      <c r="X400" s="1646"/>
      <c r="Y400" s="1370"/>
      <c r="Z400" s="1370"/>
      <c r="AA400" s="740"/>
      <c r="AB400" s="1370"/>
      <c r="AC400" s="1370"/>
      <c r="AD400" s="1370"/>
      <c r="AE400" s="1370"/>
      <c r="AF400" s="1370"/>
      <c r="AG400" s="1636"/>
      <c r="AH400" s="1636"/>
      <c r="AI400" s="1636"/>
      <c r="AJ400" s="1636"/>
      <c r="AK400" s="1636"/>
      <c r="AL400" s="1639">
        <v>0</v>
      </c>
    </row>
    <row s="1854" customFormat="1" customHeight="1" ht="22.5">
      <c r="A401" s="991"/>
      <c r="B401" s="1370"/>
      <c r="C401" s="1646"/>
      <c r="D401" s="687" t="s">
        <v>104</v>
      </c>
      <c r="E401" s="550" t="str">
        <f>E356&amp;".44"</f>
        <v>16.44</v>
      </c>
      <c r="F401" s="544" t="s">
        <v>781</v>
      </c>
      <c r="G401" s="2370" t="s">
        <v>580</v>
      </c>
      <c r="H401" s="549"/>
      <c r="I401" s="549">
        <v>160.98</v>
      </c>
      <c r="J401" s="549"/>
      <c r="K401" s="549"/>
      <c r="L401" s="549"/>
      <c r="M401" s="549"/>
      <c r="N401" s="549"/>
      <c r="O401" s="549"/>
      <c r="P401" s="1529" t="s">
        <v>581</v>
      </c>
      <c r="Q401" s="738"/>
      <c r="R401" s="1646"/>
      <c r="S401" s="1646"/>
      <c r="T401" s="1370"/>
      <c r="U401" s="1370"/>
      <c r="V401" s="1370"/>
      <c r="W401" s="1370"/>
      <c r="X401" s="1646"/>
      <c r="Y401" s="1370"/>
      <c r="Z401" s="1370"/>
      <c r="AA401" s="740"/>
      <c r="AB401" s="1370"/>
      <c r="AC401" s="1370"/>
      <c r="AD401" s="1370"/>
      <c r="AE401" s="1370"/>
      <c r="AF401" s="1370"/>
      <c r="AG401" s="1636"/>
      <c r="AH401" s="1636"/>
      <c r="AI401" s="1636"/>
      <c r="AJ401" s="1636"/>
      <c r="AK401" s="1636"/>
      <c r="AL401" s="1639">
        <v>0</v>
      </c>
    </row>
    <row s="1854" customFormat="1" customHeight="1" ht="22.5">
      <c r="A402" s="991"/>
      <c r="B402" s="1370"/>
      <c r="C402" s="1646"/>
      <c r="D402" s="687" t="s">
        <v>104</v>
      </c>
      <c r="E402" s="550" t="str">
        <f>E356&amp;".45"</f>
        <v>16.45</v>
      </c>
      <c r="F402" s="544" t="s">
        <v>782</v>
      </c>
      <c r="G402" s="2370" t="s">
        <v>580</v>
      </c>
      <c r="H402" s="549"/>
      <c r="I402" s="549">
        <v>175.9</v>
      </c>
      <c r="J402" s="549"/>
      <c r="K402" s="549"/>
      <c r="L402" s="549"/>
      <c r="M402" s="549"/>
      <c r="N402" s="549"/>
      <c r="O402" s="549"/>
      <c r="P402" s="1529" t="s">
        <v>581</v>
      </c>
      <c r="Q402" s="738"/>
      <c r="R402" s="1646"/>
      <c r="S402" s="1646"/>
      <c r="T402" s="1370"/>
      <c r="U402" s="1370"/>
      <c r="V402" s="1370"/>
      <c r="W402" s="1370"/>
      <c r="X402" s="1646"/>
      <c r="Y402" s="1370"/>
      <c r="Z402" s="1370"/>
      <c r="AA402" s="740"/>
      <c r="AB402" s="1370"/>
      <c r="AC402" s="1370"/>
      <c r="AD402" s="1370"/>
      <c r="AE402" s="1370"/>
      <c r="AF402" s="1370"/>
      <c r="AG402" s="1636"/>
      <c r="AH402" s="1636"/>
      <c r="AI402" s="1636"/>
      <c r="AJ402" s="1636"/>
      <c r="AK402" s="1636"/>
      <c r="AL402" s="1639">
        <v>0</v>
      </c>
    </row>
    <row s="1854" customFormat="1" customHeight="1" ht="22.5">
      <c r="A403" s="991"/>
      <c r="B403" s="1370"/>
      <c r="C403" s="1646"/>
      <c r="D403" s="687" t="s">
        <v>104</v>
      </c>
      <c r="E403" s="550" t="str">
        <f>E356&amp;".46"</f>
        <v>16.46</v>
      </c>
      <c r="F403" s="544" t="s">
        <v>783</v>
      </c>
      <c r="G403" s="2370" t="s">
        <v>580</v>
      </c>
      <c r="H403" s="549"/>
      <c r="I403" s="549">
        <v>159.55</v>
      </c>
      <c r="J403" s="549"/>
      <c r="K403" s="549"/>
      <c r="L403" s="549"/>
      <c r="M403" s="549"/>
      <c r="N403" s="549"/>
      <c r="O403" s="549"/>
      <c r="P403" s="1529" t="s">
        <v>581</v>
      </c>
      <c r="Q403" s="738"/>
      <c r="R403" s="1646"/>
      <c r="S403" s="1646"/>
      <c r="T403" s="1370"/>
      <c r="U403" s="1370"/>
      <c r="V403" s="1370"/>
      <c r="W403" s="1370"/>
      <c r="X403" s="1646"/>
      <c r="Y403" s="1370"/>
      <c r="Z403" s="1370"/>
      <c r="AA403" s="740"/>
      <c r="AB403" s="1370"/>
      <c r="AC403" s="1370"/>
      <c r="AD403" s="1370"/>
      <c r="AE403" s="1370"/>
      <c r="AF403" s="1370"/>
      <c r="AG403" s="1636"/>
      <c r="AH403" s="1636"/>
      <c r="AI403" s="1636"/>
      <c r="AJ403" s="1636"/>
      <c r="AK403" s="1636"/>
      <c r="AL403" s="1639">
        <v>0</v>
      </c>
    </row>
    <row s="1854" customFormat="1" customHeight="1" ht="22.5">
      <c r="A404" s="991"/>
      <c r="B404" s="1370"/>
      <c r="C404" s="1646"/>
      <c r="D404" s="687" t="s">
        <v>104</v>
      </c>
      <c r="E404" s="550" t="str">
        <f>E356&amp;".47"</f>
        <v>16.47</v>
      </c>
      <c r="F404" s="544" t="s">
        <v>784</v>
      </c>
      <c r="G404" s="2370" t="s">
        <v>580</v>
      </c>
      <c r="H404" s="549"/>
      <c r="I404" s="549">
        <v>158.63</v>
      </c>
      <c r="J404" s="549"/>
      <c r="K404" s="549"/>
      <c r="L404" s="549"/>
      <c r="M404" s="549"/>
      <c r="N404" s="549"/>
      <c r="O404" s="549"/>
      <c r="P404" s="1529" t="s">
        <v>581</v>
      </c>
      <c r="Q404" s="738"/>
      <c r="R404" s="1646"/>
      <c r="S404" s="1646"/>
      <c r="T404" s="1370"/>
      <c r="U404" s="1370"/>
      <c r="V404" s="1370"/>
      <c r="W404" s="1370"/>
      <c r="X404" s="1646"/>
      <c r="Y404" s="1370"/>
      <c r="Z404" s="1370"/>
      <c r="AA404" s="740"/>
      <c r="AB404" s="1370"/>
      <c r="AC404" s="1370"/>
      <c r="AD404" s="1370"/>
      <c r="AE404" s="1370"/>
      <c r="AF404" s="1370"/>
      <c r="AG404" s="1636"/>
      <c r="AH404" s="1636"/>
      <c r="AI404" s="1636"/>
      <c r="AJ404" s="1636"/>
      <c r="AK404" s="1636"/>
      <c r="AL404" s="1639">
        <v>0</v>
      </c>
    </row>
    <row s="1854" customFormat="1" customHeight="1" ht="22.5">
      <c r="A405" s="991"/>
      <c r="B405" s="1370"/>
      <c r="C405" s="1646"/>
      <c r="D405" s="687" t="s">
        <v>104</v>
      </c>
      <c r="E405" s="550" t="str">
        <f>E356&amp;".48"</f>
        <v>16.48</v>
      </c>
      <c r="F405" s="544" t="s">
        <v>785</v>
      </c>
      <c r="G405" s="2370" t="s">
        <v>580</v>
      </c>
      <c r="H405" s="549"/>
      <c r="I405" s="549">
        <v>159.51</v>
      </c>
      <c r="J405" s="549"/>
      <c r="K405" s="549"/>
      <c r="L405" s="549"/>
      <c r="M405" s="549"/>
      <c r="N405" s="549"/>
      <c r="O405" s="549"/>
      <c r="P405" s="1529" t="s">
        <v>581</v>
      </c>
      <c r="Q405" s="738"/>
      <c r="R405" s="1646"/>
      <c r="S405" s="1646"/>
      <c r="T405" s="1370"/>
      <c r="U405" s="1370"/>
      <c r="V405" s="1370"/>
      <c r="W405" s="1370"/>
      <c r="X405" s="1646"/>
      <c r="Y405" s="1370"/>
      <c r="Z405" s="1370"/>
      <c r="AA405" s="740"/>
      <c r="AB405" s="1370"/>
      <c r="AC405" s="1370"/>
      <c r="AD405" s="1370"/>
      <c r="AE405" s="1370"/>
      <c r="AF405" s="1370"/>
      <c r="AG405" s="1636"/>
      <c r="AH405" s="1636"/>
      <c r="AI405" s="1636"/>
      <c r="AJ405" s="1636"/>
      <c r="AK405" s="1636"/>
      <c r="AL405" s="1639">
        <v>0</v>
      </c>
    </row>
    <row s="1854" customFormat="1" customHeight="1" ht="22.5">
      <c r="A406" s="991"/>
      <c r="B406" s="1370"/>
      <c r="C406" s="1646"/>
      <c r="D406" s="687" t="s">
        <v>104</v>
      </c>
      <c r="E406" s="550" t="str">
        <f>E356&amp;".49"</f>
        <v>16.49</v>
      </c>
      <c r="F406" s="544" t="s">
        <v>786</v>
      </c>
      <c r="G406" s="2370" t="s">
        <v>580</v>
      </c>
      <c r="H406" s="549"/>
      <c r="I406" s="549">
        <v>159.54</v>
      </c>
      <c r="J406" s="549"/>
      <c r="K406" s="549"/>
      <c r="L406" s="549"/>
      <c r="M406" s="549"/>
      <c r="N406" s="549"/>
      <c r="O406" s="549"/>
      <c r="P406" s="1529" t="s">
        <v>581</v>
      </c>
      <c r="Q406" s="738"/>
      <c r="R406" s="1646"/>
      <c r="S406" s="1646"/>
      <c r="T406" s="1370"/>
      <c r="U406" s="1370"/>
      <c r="V406" s="1370"/>
      <c r="W406" s="1370"/>
      <c r="X406" s="1646"/>
      <c r="Y406" s="1370"/>
      <c r="Z406" s="1370"/>
      <c r="AA406" s="740"/>
      <c r="AB406" s="1370"/>
      <c r="AC406" s="1370"/>
      <c r="AD406" s="1370"/>
      <c r="AE406" s="1370"/>
      <c r="AF406" s="1370"/>
      <c r="AG406" s="1636"/>
      <c r="AH406" s="1636"/>
      <c r="AI406" s="1636"/>
      <c r="AJ406" s="1636"/>
      <c r="AK406" s="1636"/>
      <c r="AL406" s="1639">
        <v>0</v>
      </c>
    </row>
    <row s="1854" customFormat="1" customHeight="1" ht="22.5">
      <c r="A407" s="991"/>
      <c r="B407" s="1370"/>
      <c r="C407" s="1646"/>
      <c r="D407" s="687" t="s">
        <v>104</v>
      </c>
      <c r="E407" s="550" t="str">
        <f>E356&amp;".50"</f>
        <v>16.50</v>
      </c>
      <c r="F407" s="544" t="s">
        <v>787</v>
      </c>
      <c r="G407" s="2370" t="s">
        <v>580</v>
      </c>
      <c r="H407" s="549"/>
      <c r="I407" s="549">
        <v>159.82</v>
      </c>
      <c r="J407" s="549"/>
      <c r="K407" s="549"/>
      <c r="L407" s="549"/>
      <c r="M407" s="549"/>
      <c r="N407" s="549"/>
      <c r="O407" s="549"/>
      <c r="P407" s="1529" t="s">
        <v>581</v>
      </c>
      <c r="Q407" s="738"/>
      <c r="R407" s="1646"/>
      <c r="S407" s="1646"/>
      <c r="T407" s="1370"/>
      <c r="U407" s="1370"/>
      <c r="V407" s="1370"/>
      <c r="W407" s="1370"/>
      <c r="X407" s="1646"/>
      <c r="Y407" s="1370"/>
      <c r="Z407" s="1370"/>
      <c r="AA407" s="740"/>
      <c r="AB407" s="1370"/>
      <c r="AC407" s="1370"/>
      <c r="AD407" s="1370"/>
      <c r="AE407" s="1370"/>
      <c r="AF407" s="1370"/>
      <c r="AG407" s="1636"/>
      <c r="AH407" s="1636"/>
      <c r="AI407" s="1636"/>
      <c r="AJ407" s="1636"/>
      <c r="AK407" s="1636"/>
      <c r="AL407" s="1639">
        <v>0</v>
      </c>
    </row>
    <row s="1854" customFormat="1" customHeight="1" ht="22.5">
      <c r="A408" s="991"/>
      <c r="B408" s="1370"/>
      <c r="C408" s="1646"/>
      <c r="D408" s="687" t="s">
        <v>104</v>
      </c>
      <c r="E408" s="550" t="str">
        <f>E356&amp;".51"</f>
        <v>16.51</v>
      </c>
      <c r="F408" s="544" t="s">
        <v>788</v>
      </c>
      <c r="G408" s="2370" t="s">
        <v>580</v>
      </c>
      <c r="H408" s="549"/>
      <c r="I408" s="549">
        <v>178.47</v>
      </c>
      <c r="J408" s="549"/>
      <c r="K408" s="549"/>
      <c r="L408" s="549"/>
      <c r="M408" s="549"/>
      <c r="N408" s="549"/>
      <c r="O408" s="549"/>
      <c r="P408" s="1529" t="s">
        <v>581</v>
      </c>
      <c r="Q408" s="738"/>
      <c r="R408" s="1646"/>
      <c r="S408" s="1646"/>
      <c r="T408" s="1370"/>
      <c r="U408" s="1370"/>
      <c r="V408" s="1370"/>
      <c r="W408" s="1370"/>
      <c r="X408" s="1646"/>
      <c r="Y408" s="1370"/>
      <c r="Z408" s="1370"/>
      <c r="AA408" s="740"/>
      <c r="AB408" s="1370"/>
      <c r="AC408" s="1370"/>
      <c r="AD408" s="1370"/>
      <c r="AE408" s="1370"/>
      <c r="AF408" s="1370"/>
      <c r="AG408" s="1636"/>
      <c r="AH408" s="1636"/>
      <c r="AI408" s="1636"/>
      <c r="AJ408" s="1636"/>
      <c r="AK408" s="1636"/>
      <c r="AL408" s="1639">
        <v>0</v>
      </c>
    </row>
    <row s="1854" customFormat="1" customHeight="1" ht="22.5">
      <c r="A409" s="991"/>
      <c r="B409" s="1370"/>
      <c r="C409" s="1646"/>
      <c r="D409" s="687" t="s">
        <v>104</v>
      </c>
      <c r="E409" s="550" t="str">
        <f>E356&amp;".52"</f>
        <v>16.52</v>
      </c>
      <c r="F409" s="544" t="s">
        <v>789</v>
      </c>
      <c r="G409" s="2370" t="s">
        <v>580</v>
      </c>
      <c r="H409" s="549"/>
      <c r="I409" s="549">
        <v>156.48</v>
      </c>
      <c r="J409" s="549"/>
      <c r="K409" s="549"/>
      <c r="L409" s="549"/>
      <c r="M409" s="549"/>
      <c r="N409" s="549"/>
      <c r="O409" s="549"/>
      <c r="P409" s="1529" t="s">
        <v>581</v>
      </c>
      <c r="Q409" s="738"/>
      <c r="R409" s="1646"/>
      <c r="S409" s="1646"/>
      <c r="T409" s="1370"/>
      <c r="U409" s="1370"/>
      <c r="V409" s="1370"/>
      <c r="W409" s="1370"/>
      <c r="X409" s="1646"/>
      <c r="Y409" s="1370"/>
      <c r="Z409" s="1370"/>
      <c r="AA409" s="740"/>
      <c r="AB409" s="1370"/>
      <c r="AC409" s="1370"/>
      <c r="AD409" s="1370"/>
      <c r="AE409" s="1370"/>
      <c r="AF409" s="1370"/>
      <c r="AG409" s="1636"/>
      <c r="AH409" s="1636"/>
      <c r="AI409" s="1636"/>
      <c r="AJ409" s="1636"/>
      <c r="AK409" s="1636"/>
      <c r="AL409" s="1639">
        <v>0</v>
      </c>
    </row>
    <row s="1854" customFormat="1" customHeight="1" ht="22.5">
      <c r="A410" s="991"/>
      <c r="B410" s="1370"/>
      <c r="C410" s="1646"/>
      <c r="D410" s="687" t="s">
        <v>104</v>
      </c>
      <c r="E410" s="550" t="str">
        <f>E356&amp;".53"</f>
        <v>16.53</v>
      </c>
      <c r="F410" s="544" t="s">
        <v>790</v>
      </c>
      <c r="G410" s="2370" t="s">
        <v>580</v>
      </c>
      <c r="H410" s="549"/>
      <c r="I410" s="549">
        <v>155.9</v>
      </c>
      <c r="J410" s="549"/>
      <c r="K410" s="549"/>
      <c r="L410" s="549"/>
      <c r="M410" s="549"/>
      <c r="N410" s="549"/>
      <c r="O410" s="549"/>
      <c r="P410" s="1529" t="s">
        <v>581</v>
      </c>
      <c r="Q410" s="738"/>
      <c r="R410" s="1646"/>
      <c r="S410" s="1646"/>
      <c r="T410" s="1370"/>
      <c r="U410" s="1370"/>
      <c r="V410" s="1370"/>
      <c r="W410" s="1370"/>
      <c r="X410" s="1646"/>
      <c r="Y410" s="1370"/>
      <c r="Z410" s="1370"/>
      <c r="AA410" s="740"/>
      <c r="AB410" s="1370"/>
      <c r="AC410" s="1370"/>
      <c r="AD410" s="1370"/>
      <c r="AE410" s="1370"/>
      <c r="AF410" s="1370"/>
      <c r="AG410" s="1636"/>
      <c r="AH410" s="1636"/>
      <c r="AI410" s="1636"/>
      <c r="AJ410" s="1636"/>
      <c r="AK410" s="1636"/>
      <c r="AL410" s="1639">
        <v>0</v>
      </c>
    </row>
    <row s="1854" customFormat="1" customHeight="1" ht="22.5">
      <c r="A411" s="991"/>
      <c r="B411" s="1370"/>
      <c r="C411" s="1646"/>
      <c r="D411" s="687" t="s">
        <v>104</v>
      </c>
      <c r="E411" s="550" t="str">
        <f>E356&amp;".54"</f>
        <v>16.54</v>
      </c>
      <c r="F411" s="544" t="s">
        <v>791</v>
      </c>
      <c r="G411" s="2370" t="s">
        <v>580</v>
      </c>
      <c r="H411" s="549"/>
      <c r="I411" s="549">
        <v>176.39</v>
      </c>
      <c r="J411" s="549"/>
      <c r="K411" s="549"/>
      <c r="L411" s="549"/>
      <c r="M411" s="549"/>
      <c r="N411" s="549"/>
      <c r="O411" s="549"/>
      <c r="P411" s="1529" t="s">
        <v>581</v>
      </c>
      <c r="Q411" s="738"/>
      <c r="R411" s="1646"/>
      <c r="S411" s="1646"/>
      <c r="T411" s="1370"/>
      <c r="U411" s="1370"/>
      <c r="V411" s="1370"/>
      <c r="W411" s="1370"/>
      <c r="X411" s="1646"/>
      <c r="Y411" s="1370"/>
      <c r="Z411" s="1370"/>
      <c r="AA411" s="740"/>
      <c r="AB411" s="1370"/>
      <c r="AC411" s="1370"/>
      <c r="AD411" s="1370"/>
      <c r="AE411" s="1370"/>
      <c r="AF411" s="1370"/>
      <c r="AG411" s="1636"/>
      <c r="AH411" s="1636"/>
      <c r="AI411" s="1636"/>
      <c r="AJ411" s="1636"/>
      <c r="AK411" s="1636"/>
      <c r="AL411" s="1639">
        <v>0</v>
      </c>
    </row>
    <row s="1854" customFormat="1" customHeight="1" ht="22.5">
      <c r="A412" s="991"/>
      <c r="B412" s="1370"/>
      <c r="C412" s="1646"/>
      <c r="D412" s="687" t="s">
        <v>104</v>
      </c>
      <c r="E412" s="550" t="str">
        <f>E356&amp;".55"</f>
        <v>16.55</v>
      </c>
      <c r="F412" s="544" t="s">
        <v>792</v>
      </c>
      <c r="G412" s="2370" t="s">
        <v>580</v>
      </c>
      <c r="H412" s="549"/>
      <c r="I412" s="549">
        <v>162.56</v>
      </c>
      <c r="J412" s="549"/>
      <c r="K412" s="549"/>
      <c r="L412" s="549"/>
      <c r="M412" s="549"/>
      <c r="N412" s="549"/>
      <c r="O412" s="549"/>
      <c r="P412" s="1529" t="s">
        <v>581</v>
      </c>
      <c r="Q412" s="738"/>
      <c r="R412" s="1646"/>
      <c r="S412" s="1646"/>
      <c r="T412" s="1370"/>
      <c r="U412" s="1370"/>
      <c r="V412" s="1370"/>
      <c r="W412" s="1370"/>
      <c r="X412" s="1646"/>
      <c r="Y412" s="1370"/>
      <c r="Z412" s="1370"/>
      <c r="AA412" s="740"/>
      <c r="AB412" s="1370"/>
      <c r="AC412" s="1370"/>
      <c r="AD412" s="1370"/>
      <c r="AE412" s="1370"/>
      <c r="AF412" s="1370"/>
      <c r="AG412" s="1636"/>
      <c r="AH412" s="1636"/>
      <c r="AI412" s="1636"/>
      <c r="AJ412" s="1636"/>
      <c r="AK412" s="1636"/>
      <c r="AL412" s="1639">
        <v>0</v>
      </c>
    </row>
    <row s="1854" customFormat="1" customHeight="1" ht="22.5">
      <c r="A413" s="991"/>
      <c r="B413" s="1370"/>
      <c r="C413" s="1646"/>
      <c r="D413" s="687" t="s">
        <v>104</v>
      </c>
      <c r="E413" s="550" t="str">
        <f>E356&amp;".56"</f>
        <v>16.56</v>
      </c>
      <c r="F413" s="544" t="s">
        <v>793</v>
      </c>
      <c r="G413" s="2370" t="s">
        <v>580</v>
      </c>
      <c r="H413" s="549"/>
      <c r="I413" s="549">
        <v>242.44</v>
      </c>
      <c r="J413" s="549"/>
      <c r="K413" s="549"/>
      <c r="L413" s="549"/>
      <c r="M413" s="549"/>
      <c r="N413" s="549"/>
      <c r="O413" s="549"/>
      <c r="P413" s="1529" t="s">
        <v>581</v>
      </c>
      <c r="Q413" s="738"/>
      <c r="R413" s="1646"/>
      <c r="S413" s="1646"/>
      <c r="T413" s="1370"/>
      <c r="U413" s="1370"/>
      <c r="V413" s="1370"/>
      <c r="W413" s="1370"/>
      <c r="X413" s="1646"/>
      <c r="Y413" s="1370"/>
      <c r="Z413" s="1370"/>
      <c r="AA413" s="740"/>
      <c r="AB413" s="1370"/>
      <c r="AC413" s="1370"/>
      <c r="AD413" s="1370"/>
      <c r="AE413" s="1370"/>
      <c r="AF413" s="1370"/>
      <c r="AG413" s="1636"/>
      <c r="AH413" s="1636"/>
      <c r="AI413" s="1636"/>
      <c r="AJ413" s="1636"/>
      <c r="AK413" s="1636"/>
      <c r="AL413" s="1639">
        <v>0</v>
      </c>
    </row>
    <row s="1854" customFormat="1" customHeight="1" ht="22.5">
      <c r="A414" s="991"/>
      <c r="B414" s="1370"/>
      <c r="C414" s="1646"/>
      <c r="D414" s="687" t="s">
        <v>104</v>
      </c>
      <c r="E414" s="550" t="str">
        <f>E356&amp;".57"</f>
        <v>16.57</v>
      </c>
      <c r="F414" s="544" t="s">
        <v>794</v>
      </c>
      <c r="G414" s="2370" t="s">
        <v>580</v>
      </c>
      <c r="H414" s="549"/>
      <c r="I414" s="549">
        <v>178.61</v>
      </c>
      <c r="J414" s="549"/>
      <c r="K414" s="549"/>
      <c r="L414" s="549"/>
      <c r="M414" s="549"/>
      <c r="N414" s="549"/>
      <c r="O414" s="549"/>
      <c r="P414" s="1529" t="s">
        <v>581</v>
      </c>
      <c r="Q414" s="738"/>
      <c r="R414" s="1646"/>
      <c r="S414" s="1646"/>
      <c r="T414" s="1370"/>
      <c r="U414" s="1370"/>
      <c r="V414" s="1370"/>
      <c r="W414" s="1370"/>
      <c r="X414" s="1646"/>
      <c r="Y414" s="1370"/>
      <c r="Z414" s="1370"/>
      <c r="AA414" s="740"/>
      <c r="AB414" s="1370"/>
      <c r="AC414" s="1370"/>
      <c r="AD414" s="1370"/>
      <c r="AE414" s="1370"/>
      <c r="AF414" s="1370"/>
      <c r="AG414" s="1636"/>
      <c r="AH414" s="1636"/>
      <c r="AI414" s="1636"/>
      <c r="AJ414" s="1636"/>
      <c r="AK414" s="1636"/>
      <c r="AL414" s="1639">
        <v>0</v>
      </c>
    </row>
    <row s="1854" customFormat="1" customHeight="1" ht="22.5">
      <c r="A415" s="991"/>
      <c r="B415" s="1370"/>
      <c r="C415" s="1646"/>
      <c r="D415" s="687" t="s">
        <v>104</v>
      </c>
      <c r="E415" s="550" t="str">
        <f>E356&amp;".58"</f>
        <v>16.58</v>
      </c>
      <c r="F415" s="544" t="s">
        <v>795</v>
      </c>
      <c r="G415" s="2370" t="s">
        <v>580</v>
      </c>
      <c r="H415" s="549"/>
      <c r="I415" s="549">
        <v>153.33</v>
      </c>
      <c r="J415" s="549"/>
      <c r="K415" s="549"/>
      <c r="L415" s="549"/>
      <c r="M415" s="549"/>
      <c r="N415" s="549"/>
      <c r="O415" s="549"/>
      <c r="P415" s="1529" t="s">
        <v>581</v>
      </c>
      <c r="Q415" s="738"/>
      <c r="R415" s="1646"/>
      <c r="S415" s="1646"/>
      <c r="T415" s="1370"/>
      <c r="U415" s="1370"/>
      <c r="V415" s="1370"/>
      <c r="W415" s="1370"/>
      <c r="X415" s="1646"/>
      <c r="Y415" s="1370"/>
      <c r="Z415" s="1370"/>
      <c r="AA415" s="740"/>
      <c r="AB415" s="1370"/>
      <c r="AC415" s="1370"/>
      <c r="AD415" s="1370"/>
      <c r="AE415" s="1370"/>
      <c r="AF415" s="1370"/>
      <c r="AG415" s="1636"/>
      <c r="AH415" s="1636"/>
      <c r="AI415" s="1636"/>
      <c r="AJ415" s="1636"/>
      <c r="AK415" s="1636"/>
      <c r="AL415" s="1639">
        <v>0</v>
      </c>
    </row>
    <row s="1854" customFormat="1" customHeight="1" ht="22.5">
      <c r="A416" s="991"/>
      <c r="B416" s="1370"/>
      <c r="C416" s="1646"/>
      <c r="D416" s="687" t="s">
        <v>104</v>
      </c>
      <c r="E416" s="550" t="str">
        <f>E356&amp;".59"</f>
        <v>16.59</v>
      </c>
      <c r="F416" s="544" t="s">
        <v>796</v>
      </c>
      <c r="G416" s="2370" t="s">
        <v>580</v>
      </c>
      <c r="H416" s="549"/>
      <c r="I416" s="549">
        <v>156.85</v>
      </c>
      <c r="J416" s="549"/>
      <c r="K416" s="549"/>
      <c r="L416" s="549"/>
      <c r="M416" s="549"/>
      <c r="N416" s="549"/>
      <c r="O416" s="549"/>
      <c r="P416" s="1529" t="s">
        <v>581</v>
      </c>
      <c r="Q416" s="738"/>
      <c r="R416" s="1646"/>
      <c r="S416" s="1646"/>
      <c r="T416" s="1370"/>
      <c r="U416" s="1370"/>
      <c r="V416" s="1370"/>
      <c r="W416" s="1370"/>
      <c r="X416" s="1646"/>
      <c r="Y416" s="1370"/>
      <c r="Z416" s="1370"/>
      <c r="AA416" s="740"/>
      <c r="AB416" s="1370"/>
      <c r="AC416" s="1370"/>
      <c r="AD416" s="1370"/>
      <c r="AE416" s="1370"/>
      <c r="AF416" s="1370"/>
      <c r="AG416" s="1636"/>
      <c r="AH416" s="1636"/>
      <c r="AI416" s="1636"/>
      <c r="AJ416" s="1636"/>
      <c r="AK416" s="1636"/>
      <c r="AL416" s="1639">
        <v>0</v>
      </c>
    </row>
    <row s="1854" customFormat="1" customHeight="1" ht="22.5">
      <c r="A417" s="991"/>
      <c r="B417" s="1370"/>
      <c r="C417" s="1646"/>
      <c r="D417" s="687" t="s">
        <v>104</v>
      </c>
      <c r="E417" s="550" t="str">
        <f>E356&amp;".60"</f>
        <v>16.60</v>
      </c>
      <c r="F417" s="544" t="s">
        <v>797</v>
      </c>
      <c r="G417" s="2370" t="s">
        <v>580</v>
      </c>
      <c r="H417" s="549"/>
      <c r="I417" s="549">
        <v>166.75</v>
      </c>
      <c r="J417" s="549"/>
      <c r="K417" s="549"/>
      <c r="L417" s="549"/>
      <c r="M417" s="549"/>
      <c r="N417" s="549"/>
      <c r="O417" s="549"/>
      <c r="P417" s="1529" t="s">
        <v>581</v>
      </c>
      <c r="Q417" s="738"/>
      <c r="R417" s="1646"/>
      <c r="S417" s="1646"/>
      <c r="T417" s="1370"/>
      <c r="U417" s="1370"/>
      <c r="V417" s="1370"/>
      <c r="W417" s="1370"/>
      <c r="X417" s="1646"/>
      <c r="Y417" s="1370"/>
      <c r="Z417" s="1370"/>
      <c r="AA417" s="740"/>
      <c r="AB417" s="1370"/>
      <c r="AC417" s="1370"/>
      <c r="AD417" s="1370"/>
      <c r="AE417" s="1370"/>
      <c r="AF417" s="1370"/>
      <c r="AG417" s="1636"/>
      <c r="AH417" s="1636"/>
      <c r="AI417" s="1636"/>
      <c r="AJ417" s="1636"/>
      <c r="AK417" s="1636"/>
      <c r="AL417" s="1639">
        <v>0</v>
      </c>
    </row>
    <row s="1854" customFormat="1" customHeight="1" ht="22.5">
      <c r="A418" s="991"/>
      <c r="B418" s="1370"/>
      <c r="C418" s="1646"/>
      <c r="D418" s="687" t="s">
        <v>104</v>
      </c>
      <c r="E418" s="550" t="str">
        <f>E356&amp;".61"</f>
        <v>16.61</v>
      </c>
      <c r="F418" s="544" t="s">
        <v>798</v>
      </c>
      <c r="G418" s="2370" t="s">
        <v>580</v>
      </c>
      <c r="H418" s="549"/>
      <c r="I418" s="549">
        <v>158.63</v>
      </c>
      <c r="J418" s="549"/>
      <c r="K418" s="549"/>
      <c r="L418" s="549"/>
      <c r="M418" s="549"/>
      <c r="N418" s="549"/>
      <c r="O418" s="549"/>
      <c r="P418" s="1529" t="s">
        <v>581</v>
      </c>
      <c r="Q418" s="738"/>
      <c r="R418" s="1646"/>
      <c r="S418" s="1646"/>
      <c r="T418" s="1370"/>
      <c r="U418" s="1370"/>
      <c r="V418" s="1370"/>
      <c r="W418" s="1370"/>
      <c r="X418" s="1646"/>
      <c r="Y418" s="1370"/>
      <c r="Z418" s="1370"/>
      <c r="AA418" s="740"/>
      <c r="AB418" s="1370"/>
      <c r="AC418" s="1370"/>
      <c r="AD418" s="1370"/>
      <c r="AE418" s="1370"/>
      <c r="AF418" s="1370"/>
      <c r="AG418" s="1636"/>
      <c r="AH418" s="1636"/>
      <c r="AI418" s="1636"/>
      <c r="AJ418" s="1636"/>
      <c r="AK418" s="1636"/>
      <c r="AL418" s="1639">
        <v>0</v>
      </c>
    </row>
    <row s="1854" customFormat="1" customHeight="1" ht="22.5">
      <c r="A419" s="991"/>
      <c r="B419" s="1370"/>
      <c r="C419" s="1646"/>
      <c r="D419" s="687" t="s">
        <v>104</v>
      </c>
      <c r="E419" s="550" t="str">
        <f>E356&amp;".62"</f>
        <v>16.62</v>
      </c>
      <c r="F419" s="544" t="s">
        <v>799</v>
      </c>
      <c r="G419" s="2370" t="s">
        <v>580</v>
      </c>
      <c r="H419" s="549"/>
      <c r="I419" s="549">
        <v>149.8</v>
      </c>
      <c r="J419" s="549"/>
      <c r="K419" s="549"/>
      <c r="L419" s="549"/>
      <c r="M419" s="549"/>
      <c r="N419" s="549"/>
      <c r="O419" s="549"/>
      <c r="P419" s="1529" t="s">
        <v>581</v>
      </c>
      <c r="Q419" s="738"/>
      <c r="R419" s="1646"/>
      <c r="S419" s="1646"/>
      <c r="T419" s="1370"/>
      <c r="U419" s="1370"/>
      <c r="V419" s="1370"/>
      <c r="W419" s="1370"/>
      <c r="X419" s="1646"/>
      <c r="Y419" s="1370"/>
      <c r="Z419" s="1370"/>
      <c r="AA419" s="740"/>
      <c r="AB419" s="1370"/>
      <c r="AC419" s="1370"/>
      <c r="AD419" s="1370"/>
      <c r="AE419" s="1370"/>
      <c r="AF419" s="1370"/>
      <c r="AG419" s="1636"/>
      <c r="AH419" s="1636"/>
      <c r="AI419" s="1636"/>
      <c r="AJ419" s="1636"/>
      <c r="AK419" s="1636"/>
      <c r="AL419" s="1639">
        <v>0</v>
      </c>
    </row>
    <row s="1854" customFormat="1" customHeight="1" ht="22.5">
      <c r="A420" s="991"/>
      <c r="B420" s="1370"/>
      <c r="C420" s="1646"/>
      <c r="D420" s="687" t="s">
        <v>104</v>
      </c>
      <c r="E420" s="550" t="str">
        <f>E356&amp;".63"</f>
        <v>16.63</v>
      </c>
      <c r="F420" s="544" t="s">
        <v>800</v>
      </c>
      <c r="G420" s="2370" t="s">
        <v>580</v>
      </c>
      <c r="H420" s="549"/>
      <c r="I420" s="549">
        <v>161.43</v>
      </c>
      <c r="J420" s="549"/>
      <c r="K420" s="549"/>
      <c r="L420" s="549"/>
      <c r="M420" s="549"/>
      <c r="N420" s="549"/>
      <c r="O420" s="549"/>
      <c r="P420" s="1529" t="s">
        <v>581</v>
      </c>
      <c r="Q420" s="738"/>
      <c r="R420" s="1646"/>
      <c r="S420" s="1646"/>
      <c r="T420" s="1370"/>
      <c r="U420" s="1370"/>
      <c r="V420" s="1370"/>
      <c r="W420" s="1370"/>
      <c r="X420" s="1646"/>
      <c r="Y420" s="1370"/>
      <c r="Z420" s="1370"/>
      <c r="AA420" s="740"/>
      <c r="AB420" s="1370"/>
      <c r="AC420" s="1370"/>
      <c r="AD420" s="1370"/>
      <c r="AE420" s="1370"/>
      <c r="AF420" s="1370"/>
      <c r="AG420" s="1636"/>
      <c r="AH420" s="1636"/>
      <c r="AI420" s="1636"/>
      <c r="AJ420" s="1636"/>
      <c r="AK420" s="1636"/>
      <c r="AL420" s="1639">
        <v>0</v>
      </c>
    </row>
    <row s="1854" customFormat="1" customHeight="1" ht="22.5">
      <c r="A421" s="991"/>
      <c r="B421" s="1370"/>
      <c r="C421" s="1646"/>
      <c r="D421" s="687" t="s">
        <v>104</v>
      </c>
      <c r="E421" s="550" t="str">
        <f>E356&amp;".64"</f>
        <v>16.64</v>
      </c>
      <c r="F421" s="544" t="s">
        <v>801</v>
      </c>
      <c r="G421" s="2370" t="s">
        <v>580</v>
      </c>
      <c r="H421" s="549"/>
      <c r="I421" s="549">
        <v>174.37</v>
      </c>
      <c r="J421" s="549"/>
      <c r="K421" s="549"/>
      <c r="L421" s="549"/>
      <c r="M421" s="549"/>
      <c r="N421" s="549"/>
      <c r="O421" s="549"/>
      <c r="P421" s="1529" t="s">
        <v>581</v>
      </c>
      <c r="Q421" s="738"/>
      <c r="R421" s="1646"/>
      <c r="S421" s="1646"/>
      <c r="T421" s="1370"/>
      <c r="U421" s="1370"/>
      <c r="V421" s="1370"/>
      <c r="W421" s="1370"/>
      <c r="X421" s="1646"/>
      <c r="Y421" s="1370"/>
      <c r="Z421" s="1370"/>
      <c r="AA421" s="740"/>
      <c r="AB421" s="1370"/>
      <c r="AC421" s="1370"/>
      <c r="AD421" s="1370"/>
      <c r="AE421" s="1370"/>
      <c r="AF421" s="1370"/>
      <c r="AG421" s="1636"/>
      <c r="AH421" s="1636"/>
      <c r="AI421" s="1636"/>
      <c r="AJ421" s="1636"/>
      <c r="AK421" s="1636"/>
      <c r="AL421" s="1639">
        <v>0</v>
      </c>
    </row>
    <row s="1854" customFormat="1" customHeight="1" ht="22.5">
      <c r="A422" s="991"/>
      <c r="B422" s="1370"/>
      <c r="C422" s="1646"/>
      <c r="D422" s="687" t="s">
        <v>104</v>
      </c>
      <c r="E422" s="550" t="str">
        <f>E356&amp;".65"</f>
        <v>16.65</v>
      </c>
      <c r="F422" s="544" t="s">
        <v>802</v>
      </c>
      <c r="G422" s="2370" t="s">
        <v>580</v>
      </c>
      <c r="H422" s="549"/>
      <c r="I422" s="549">
        <v>167.49</v>
      </c>
      <c r="J422" s="549"/>
      <c r="K422" s="549"/>
      <c r="L422" s="549"/>
      <c r="M422" s="549"/>
      <c r="N422" s="549"/>
      <c r="O422" s="549"/>
      <c r="P422" s="1529" t="s">
        <v>581</v>
      </c>
      <c r="Q422" s="738"/>
      <c r="R422" s="1646"/>
      <c r="S422" s="1646"/>
      <c r="T422" s="1370"/>
      <c r="U422" s="1370"/>
      <c r="V422" s="1370"/>
      <c r="W422" s="1370"/>
      <c r="X422" s="1646"/>
      <c r="Y422" s="1370"/>
      <c r="Z422" s="1370"/>
      <c r="AA422" s="740"/>
      <c r="AB422" s="1370"/>
      <c r="AC422" s="1370"/>
      <c r="AD422" s="1370"/>
      <c r="AE422" s="1370"/>
      <c r="AF422" s="1370"/>
      <c r="AG422" s="1636"/>
      <c r="AH422" s="1636"/>
      <c r="AI422" s="1636"/>
      <c r="AJ422" s="1636"/>
      <c r="AK422" s="1636"/>
      <c r="AL422" s="1639">
        <v>0</v>
      </c>
    </row>
    <row s="1854" customFormat="1" customHeight="1" ht="22.5">
      <c r="A423" s="991"/>
      <c r="B423" s="1370"/>
      <c r="C423" s="1646"/>
      <c r="D423" s="687" t="s">
        <v>104</v>
      </c>
      <c r="E423" s="550" t="str">
        <f>E356&amp;".66"</f>
        <v>16.66</v>
      </c>
      <c r="F423" s="544" t="s">
        <v>803</v>
      </c>
      <c r="G423" s="2370" t="s">
        <v>580</v>
      </c>
      <c r="H423" s="549"/>
      <c r="I423" s="549">
        <v>159.29</v>
      </c>
      <c r="J423" s="549"/>
      <c r="K423" s="549"/>
      <c r="L423" s="549"/>
      <c r="M423" s="549"/>
      <c r="N423" s="549"/>
      <c r="O423" s="549"/>
      <c r="P423" s="1529" t="s">
        <v>581</v>
      </c>
      <c r="Q423" s="738"/>
      <c r="R423" s="1646"/>
      <c r="S423" s="1646"/>
      <c r="T423" s="1370"/>
      <c r="U423" s="1370"/>
      <c r="V423" s="1370"/>
      <c r="W423" s="1370"/>
      <c r="X423" s="1646"/>
      <c r="Y423" s="1370"/>
      <c r="Z423" s="1370"/>
      <c r="AA423" s="740"/>
      <c r="AB423" s="1370"/>
      <c r="AC423" s="1370"/>
      <c r="AD423" s="1370"/>
      <c r="AE423" s="1370"/>
      <c r="AF423" s="1370"/>
      <c r="AG423" s="1636"/>
      <c r="AH423" s="1636"/>
      <c r="AI423" s="1636"/>
      <c r="AJ423" s="1636"/>
      <c r="AK423" s="1636"/>
      <c r="AL423" s="1639">
        <v>0</v>
      </c>
    </row>
    <row s="1854" customFormat="1" customHeight="1" ht="22.5">
      <c r="A424" s="991"/>
      <c r="B424" s="1370"/>
      <c r="C424" s="1646"/>
      <c r="D424" s="687" t="s">
        <v>104</v>
      </c>
      <c r="E424" s="550" t="str">
        <f>E356&amp;".67"</f>
        <v>16.67</v>
      </c>
      <c r="F424" s="544" t="s">
        <v>804</v>
      </c>
      <c r="G424" s="2370" t="s">
        <v>580</v>
      </c>
      <c r="H424" s="549"/>
      <c r="I424" s="549">
        <v>176.06</v>
      </c>
      <c r="J424" s="549"/>
      <c r="K424" s="549"/>
      <c r="L424" s="549"/>
      <c r="M424" s="549"/>
      <c r="N424" s="549"/>
      <c r="O424" s="549"/>
      <c r="P424" s="1529" t="s">
        <v>581</v>
      </c>
      <c r="Q424" s="738"/>
      <c r="R424" s="1646"/>
      <c r="S424" s="1646"/>
      <c r="T424" s="1370"/>
      <c r="U424" s="1370"/>
      <c r="V424" s="1370"/>
      <c r="W424" s="1370"/>
      <c r="X424" s="1646"/>
      <c r="Y424" s="1370"/>
      <c r="Z424" s="1370"/>
      <c r="AA424" s="740"/>
      <c r="AB424" s="1370"/>
      <c r="AC424" s="1370"/>
      <c r="AD424" s="1370"/>
      <c r="AE424" s="1370"/>
      <c r="AF424" s="1370"/>
      <c r="AG424" s="1636"/>
      <c r="AH424" s="1636"/>
      <c r="AI424" s="1636"/>
      <c r="AJ424" s="1636"/>
      <c r="AK424" s="1636"/>
      <c r="AL424" s="1639">
        <v>0</v>
      </c>
    </row>
    <row s="1854" customFormat="1" customHeight="1" ht="22.5">
      <c r="A425" s="991"/>
      <c r="B425" s="1370"/>
      <c r="C425" s="1646"/>
      <c r="D425" s="687" t="s">
        <v>104</v>
      </c>
      <c r="E425" s="550" t="str">
        <f>E356&amp;".68"</f>
        <v>16.68</v>
      </c>
      <c r="F425" s="544" t="s">
        <v>805</v>
      </c>
      <c r="G425" s="2370" t="s">
        <v>580</v>
      </c>
      <c r="H425" s="549"/>
      <c r="I425" s="549">
        <v>158.26</v>
      </c>
      <c r="J425" s="549"/>
      <c r="K425" s="549"/>
      <c r="L425" s="549"/>
      <c r="M425" s="549"/>
      <c r="N425" s="549"/>
      <c r="O425" s="549"/>
      <c r="P425" s="1529" t="s">
        <v>581</v>
      </c>
      <c r="Q425" s="738"/>
      <c r="R425" s="1646"/>
      <c r="S425" s="1646"/>
      <c r="T425" s="1370"/>
      <c r="U425" s="1370"/>
      <c r="V425" s="1370"/>
      <c r="W425" s="1370"/>
      <c r="X425" s="1646"/>
      <c r="Y425" s="1370"/>
      <c r="Z425" s="1370"/>
      <c r="AA425" s="740"/>
      <c r="AB425" s="1370"/>
      <c r="AC425" s="1370"/>
      <c r="AD425" s="1370"/>
      <c r="AE425" s="1370"/>
      <c r="AF425" s="1370"/>
      <c r="AG425" s="1636"/>
      <c r="AH425" s="1636"/>
      <c r="AI425" s="1636"/>
      <c r="AJ425" s="1636"/>
      <c r="AK425" s="1636"/>
      <c r="AL425" s="1639">
        <v>0</v>
      </c>
    </row>
    <row s="1854" customFormat="1" customHeight="1" ht="22.5">
      <c r="A426" s="991"/>
      <c r="B426" s="1370"/>
      <c r="C426" s="1646"/>
      <c r="D426" s="687" t="s">
        <v>104</v>
      </c>
      <c r="E426" s="550" t="str">
        <f>E356&amp;".69"</f>
        <v>16.69</v>
      </c>
      <c r="F426" s="544" t="s">
        <v>806</v>
      </c>
      <c r="G426" s="2370" t="s">
        <v>580</v>
      </c>
      <c r="H426" s="549"/>
      <c r="I426" s="549">
        <v>155.16</v>
      </c>
      <c r="J426" s="549"/>
      <c r="K426" s="549"/>
      <c r="L426" s="549"/>
      <c r="M426" s="549"/>
      <c r="N426" s="549"/>
      <c r="O426" s="549"/>
      <c r="P426" s="1529" t="s">
        <v>581</v>
      </c>
      <c r="Q426" s="738"/>
      <c r="R426" s="1646"/>
      <c r="S426" s="1646"/>
      <c r="T426" s="1370"/>
      <c r="U426" s="1370"/>
      <c r="V426" s="1370"/>
      <c r="W426" s="1370"/>
      <c r="X426" s="1646"/>
      <c r="Y426" s="1370"/>
      <c r="Z426" s="1370"/>
      <c r="AA426" s="740"/>
      <c r="AB426" s="1370"/>
      <c r="AC426" s="1370"/>
      <c r="AD426" s="1370"/>
      <c r="AE426" s="1370"/>
      <c r="AF426" s="1370"/>
      <c r="AG426" s="1636"/>
      <c r="AH426" s="1636"/>
      <c r="AI426" s="1636"/>
      <c r="AJ426" s="1636"/>
      <c r="AK426" s="1636"/>
      <c r="AL426" s="1639">
        <v>0</v>
      </c>
    </row>
    <row s="1854" customFormat="1" customHeight="1" ht="22.5">
      <c r="A427" s="991"/>
      <c r="B427" s="1370"/>
      <c r="C427" s="1646"/>
      <c r="D427" s="687" t="s">
        <v>104</v>
      </c>
      <c r="E427" s="550" t="str">
        <f>E356&amp;".70"</f>
        <v>16.70</v>
      </c>
      <c r="F427" s="544" t="s">
        <v>807</v>
      </c>
      <c r="G427" s="2370" t="s">
        <v>580</v>
      </c>
      <c r="H427" s="549"/>
      <c r="I427" s="549">
        <v>166.1</v>
      </c>
      <c r="J427" s="549"/>
      <c r="K427" s="549"/>
      <c r="L427" s="549"/>
      <c r="M427" s="549"/>
      <c r="N427" s="549"/>
      <c r="O427" s="549"/>
      <c r="P427" s="1529" t="s">
        <v>581</v>
      </c>
      <c r="Q427" s="738"/>
      <c r="R427" s="1646"/>
      <c r="S427" s="1646"/>
      <c r="T427" s="1370"/>
      <c r="U427" s="1370"/>
      <c r="V427" s="1370"/>
      <c r="W427" s="1370"/>
      <c r="X427" s="1646"/>
      <c r="Y427" s="1370"/>
      <c r="Z427" s="1370"/>
      <c r="AA427" s="740"/>
      <c r="AB427" s="1370"/>
      <c r="AC427" s="1370"/>
      <c r="AD427" s="1370"/>
      <c r="AE427" s="1370"/>
      <c r="AF427" s="1370"/>
      <c r="AG427" s="1636"/>
      <c r="AH427" s="1636"/>
      <c r="AI427" s="1636"/>
      <c r="AJ427" s="1636"/>
      <c r="AK427" s="1636"/>
      <c r="AL427" s="1639">
        <v>0</v>
      </c>
    </row>
    <row s="1854" customFormat="1" customHeight="1" ht="22.5">
      <c r="A428" s="991"/>
      <c r="B428" s="1370"/>
      <c r="C428" s="1646"/>
      <c r="D428" s="687" t="s">
        <v>104</v>
      </c>
      <c r="E428" s="550" t="str">
        <f>E356&amp;".71"</f>
        <v>16.71</v>
      </c>
      <c r="F428" s="544" t="s">
        <v>808</v>
      </c>
      <c r="G428" s="2370" t="s">
        <v>580</v>
      </c>
      <c r="H428" s="549"/>
      <c r="I428" s="549">
        <v>161.46</v>
      </c>
      <c r="J428" s="549"/>
      <c r="K428" s="549"/>
      <c r="L428" s="549"/>
      <c r="M428" s="549"/>
      <c r="N428" s="549"/>
      <c r="O428" s="549"/>
      <c r="P428" s="1529" t="s">
        <v>581</v>
      </c>
      <c r="Q428" s="738"/>
      <c r="R428" s="1646"/>
      <c r="S428" s="1646"/>
      <c r="T428" s="1370"/>
      <c r="U428" s="1370"/>
      <c r="V428" s="1370"/>
      <c r="W428" s="1370"/>
      <c r="X428" s="1646"/>
      <c r="Y428" s="1370"/>
      <c r="Z428" s="1370"/>
      <c r="AA428" s="740"/>
      <c r="AB428" s="1370"/>
      <c r="AC428" s="1370"/>
      <c r="AD428" s="1370"/>
      <c r="AE428" s="1370"/>
      <c r="AF428" s="1370"/>
      <c r="AG428" s="1636"/>
      <c r="AH428" s="1636"/>
      <c r="AI428" s="1636"/>
      <c r="AJ428" s="1636"/>
      <c r="AK428" s="1636"/>
      <c r="AL428" s="1639">
        <v>0</v>
      </c>
    </row>
    <row s="1854" customFormat="1" customHeight="1" ht="22.5">
      <c r="A429" s="991"/>
      <c r="B429" s="1370"/>
      <c r="C429" s="1646"/>
      <c r="D429" s="687" t="s">
        <v>104</v>
      </c>
      <c r="E429" s="550" t="str">
        <f>E356&amp;".72"</f>
        <v>16.72</v>
      </c>
      <c r="F429" s="544" t="s">
        <v>809</v>
      </c>
      <c r="G429" s="2370" t="s">
        <v>580</v>
      </c>
      <c r="H429" s="549"/>
      <c r="I429" s="549">
        <v>187.84</v>
      </c>
      <c r="J429" s="549"/>
      <c r="K429" s="549"/>
      <c r="L429" s="549"/>
      <c r="M429" s="549"/>
      <c r="N429" s="549"/>
      <c r="O429" s="549"/>
      <c r="P429" s="1529" t="s">
        <v>581</v>
      </c>
      <c r="Q429" s="738"/>
      <c r="R429" s="1646"/>
      <c r="S429" s="1646"/>
      <c r="T429" s="1370"/>
      <c r="U429" s="1370"/>
      <c r="V429" s="1370"/>
      <c r="W429" s="1370"/>
      <c r="X429" s="1646"/>
      <c r="Y429" s="1370"/>
      <c r="Z429" s="1370"/>
      <c r="AA429" s="740"/>
      <c r="AB429" s="1370"/>
      <c r="AC429" s="1370"/>
      <c r="AD429" s="1370"/>
      <c r="AE429" s="1370"/>
      <c r="AF429" s="1370"/>
      <c r="AG429" s="1636"/>
      <c r="AH429" s="1636"/>
      <c r="AI429" s="1636"/>
      <c r="AJ429" s="1636"/>
      <c r="AK429" s="1636"/>
      <c r="AL429" s="1639">
        <v>0</v>
      </c>
    </row>
    <row s="1854" customFormat="1" customHeight="1" ht="22.5">
      <c r="A430" s="991"/>
      <c r="B430" s="1370"/>
      <c r="C430" s="1646"/>
      <c r="D430" s="687" t="s">
        <v>104</v>
      </c>
      <c r="E430" s="550" t="str">
        <f>E356&amp;".73"</f>
        <v>16.73</v>
      </c>
      <c r="F430" s="544" t="s">
        <v>810</v>
      </c>
      <c r="G430" s="2370" t="s">
        <v>580</v>
      </c>
      <c r="H430" s="549"/>
      <c r="I430" s="549">
        <v>157.61</v>
      </c>
      <c r="J430" s="549"/>
      <c r="K430" s="549"/>
      <c r="L430" s="549"/>
      <c r="M430" s="549"/>
      <c r="N430" s="549"/>
      <c r="O430" s="549"/>
      <c r="P430" s="1529" t="s">
        <v>581</v>
      </c>
      <c r="Q430" s="738"/>
      <c r="R430" s="1646"/>
      <c r="S430" s="1646"/>
      <c r="T430" s="1370"/>
      <c r="U430" s="1370"/>
      <c r="V430" s="1370"/>
      <c r="W430" s="1370"/>
      <c r="X430" s="1646"/>
      <c r="Y430" s="1370"/>
      <c r="Z430" s="1370"/>
      <c r="AA430" s="740"/>
      <c r="AB430" s="1370"/>
      <c r="AC430" s="1370"/>
      <c r="AD430" s="1370"/>
      <c r="AE430" s="1370"/>
      <c r="AF430" s="1370"/>
      <c r="AG430" s="1636"/>
      <c r="AH430" s="1636"/>
      <c r="AI430" s="1636"/>
      <c r="AJ430" s="1636"/>
      <c r="AK430" s="1636"/>
      <c r="AL430" s="1639">
        <v>0</v>
      </c>
    </row>
    <row s="1854" customFormat="1" customHeight="1" ht="22.5">
      <c r="A431" s="991"/>
      <c r="B431" s="1370"/>
      <c r="C431" s="1646"/>
      <c r="D431" s="687" t="s">
        <v>104</v>
      </c>
      <c r="E431" s="550" t="str">
        <f>E356&amp;".74"</f>
        <v>16.74</v>
      </c>
      <c r="F431" s="544" t="s">
        <v>811</v>
      </c>
      <c r="G431" s="2370" t="s">
        <v>580</v>
      </c>
      <c r="H431" s="549"/>
      <c r="I431" s="549">
        <v>173.88</v>
      </c>
      <c r="J431" s="549"/>
      <c r="K431" s="549"/>
      <c r="L431" s="549"/>
      <c r="M431" s="549"/>
      <c r="N431" s="549"/>
      <c r="O431" s="549"/>
      <c r="P431" s="1529" t="s">
        <v>581</v>
      </c>
      <c r="Q431" s="738"/>
      <c r="R431" s="1646"/>
      <c r="S431" s="1646"/>
      <c r="T431" s="1370"/>
      <c r="U431" s="1370"/>
      <c r="V431" s="1370"/>
      <c r="W431" s="1370"/>
      <c r="X431" s="1646"/>
      <c r="Y431" s="1370"/>
      <c r="Z431" s="1370"/>
      <c r="AA431" s="740"/>
      <c r="AB431" s="1370"/>
      <c r="AC431" s="1370"/>
      <c r="AD431" s="1370"/>
      <c r="AE431" s="1370"/>
      <c r="AF431" s="1370"/>
      <c r="AG431" s="1636"/>
      <c r="AH431" s="1636"/>
      <c r="AI431" s="1636"/>
      <c r="AJ431" s="1636"/>
      <c r="AK431" s="1636"/>
      <c r="AL431" s="1639">
        <v>0</v>
      </c>
    </row>
    <row s="1854" customFormat="1" customHeight="1" ht="22.5">
      <c r="A432" s="991"/>
      <c r="B432" s="1370"/>
      <c r="C432" s="1646"/>
      <c r="D432" s="687" t="s">
        <v>104</v>
      </c>
      <c r="E432" s="550" t="str">
        <f>E356&amp;".75"</f>
        <v>16.75</v>
      </c>
      <c r="F432" s="544" t="s">
        <v>812</v>
      </c>
      <c r="G432" s="2370" t="s">
        <v>580</v>
      </c>
      <c r="H432" s="549"/>
      <c r="I432" s="549">
        <v>155.94</v>
      </c>
      <c r="J432" s="549"/>
      <c r="K432" s="549"/>
      <c r="L432" s="549"/>
      <c r="M432" s="549"/>
      <c r="N432" s="549"/>
      <c r="O432" s="549"/>
      <c r="P432" s="1529" t="s">
        <v>581</v>
      </c>
      <c r="Q432" s="738"/>
      <c r="R432" s="1646"/>
      <c r="S432" s="1646"/>
      <c r="T432" s="1370"/>
      <c r="U432" s="1370"/>
      <c r="V432" s="1370"/>
      <c r="W432" s="1370"/>
      <c r="X432" s="1646"/>
      <c r="Y432" s="1370"/>
      <c r="Z432" s="1370"/>
      <c r="AA432" s="740"/>
      <c r="AB432" s="1370"/>
      <c r="AC432" s="1370"/>
      <c r="AD432" s="1370"/>
      <c r="AE432" s="1370"/>
      <c r="AF432" s="1370"/>
      <c r="AG432" s="1636"/>
      <c r="AH432" s="1636"/>
      <c r="AI432" s="1636"/>
      <c r="AJ432" s="1636"/>
      <c r="AK432" s="1636"/>
      <c r="AL432" s="1639">
        <v>0</v>
      </c>
    </row>
    <row s="1854" customFormat="1" customHeight="1" ht="22.5">
      <c r="A433" s="991"/>
      <c r="B433" s="1370"/>
      <c r="C433" s="1646"/>
      <c r="D433" s="687" t="s">
        <v>104</v>
      </c>
      <c r="E433" s="550" t="str">
        <f>E356&amp;".76"</f>
        <v>16.76</v>
      </c>
      <c r="F433" s="544" t="s">
        <v>813</v>
      </c>
      <c r="G433" s="2370" t="s">
        <v>580</v>
      </c>
      <c r="H433" s="549"/>
      <c r="I433" s="549">
        <v>192.42</v>
      </c>
      <c r="J433" s="549"/>
      <c r="K433" s="549"/>
      <c r="L433" s="549"/>
      <c r="M433" s="549"/>
      <c r="N433" s="549"/>
      <c r="O433" s="549"/>
      <c r="P433" s="1529" t="s">
        <v>581</v>
      </c>
      <c r="Q433" s="738"/>
      <c r="R433" s="1646"/>
      <c r="S433" s="1646"/>
      <c r="T433" s="1370"/>
      <c r="U433" s="1370"/>
      <c r="V433" s="1370"/>
      <c r="W433" s="1370"/>
      <c r="X433" s="1646"/>
      <c r="Y433" s="1370"/>
      <c r="Z433" s="1370"/>
      <c r="AA433" s="740"/>
      <c r="AB433" s="1370"/>
      <c r="AC433" s="1370"/>
      <c r="AD433" s="1370"/>
      <c r="AE433" s="1370"/>
      <c r="AF433" s="1370"/>
      <c r="AG433" s="1636"/>
      <c r="AH433" s="1636"/>
      <c r="AI433" s="1636"/>
      <c r="AJ433" s="1636"/>
      <c r="AK433" s="1636"/>
      <c r="AL433" s="1639">
        <v>0</v>
      </c>
    </row>
    <row s="1854" customFormat="1" customHeight="1" ht="22.5">
      <c r="A434" s="991"/>
      <c r="B434" s="1370"/>
      <c r="C434" s="1646"/>
      <c r="D434" s="687" t="s">
        <v>104</v>
      </c>
      <c r="E434" s="550" t="str">
        <f>E356&amp;".77"</f>
        <v>16.77</v>
      </c>
      <c r="F434" s="544" t="s">
        <v>847</v>
      </c>
      <c r="G434" s="2370" t="s">
        <v>580</v>
      </c>
      <c r="H434" s="549"/>
      <c r="I434" s="549">
        <v>167.07</v>
      </c>
      <c r="J434" s="549"/>
      <c r="K434" s="549"/>
      <c r="L434" s="549"/>
      <c r="M434" s="549"/>
      <c r="N434" s="549"/>
      <c r="O434" s="549"/>
      <c r="P434" s="1529" t="s">
        <v>581</v>
      </c>
      <c r="Q434" s="738"/>
      <c r="R434" s="1646"/>
      <c r="S434" s="1646"/>
      <c r="T434" s="1370"/>
      <c r="U434" s="1370"/>
      <c r="V434" s="1370"/>
      <c r="W434" s="1370"/>
      <c r="X434" s="1646"/>
      <c r="Y434" s="1370"/>
      <c r="Z434" s="1370"/>
      <c r="AA434" s="740"/>
      <c r="AB434" s="1370"/>
      <c r="AC434" s="1370"/>
      <c r="AD434" s="1370"/>
      <c r="AE434" s="1370"/>
      <c r="AF434" s="1370"/>
      <c r="AG434" s="1636"/>
      <c r="AH434" s="1636"/>
      <c r="AI434" s="1636"/>
      <c r="AJ434" s="1636"/>
      <c r="AK434" s="1636"/>
      <c r="AL434" s="1639">
        <v>0</v>
      </c>
    </row>
    <row s="1854" customFormat="1" customHeight="1" ht="22.5">
      <c r="A435" s="991"/>
      <c r="B435" s="1370"/>
      <c r="C435" s="1646"/>
      <c r="D435" s="687" t="s">
        <v>104</v>
      </c>
      <c r="E435" s="550" t="str">
        <f>E356&amp;".78"</f>
        <v>16.78</v>
      </c>
      <c r="F435" s="544" t="s">
        <v>848</v>
      </c>
      <c r="G435" s="2370" t="s">
        <v>580</v>
      </c>
      <c r="H435" s="549"/>
      <c r="I435" s="549">
        <v>188.5</v>
      </c>
      <c r="J435" s="549"/>
      <c r="K435" s="549"/>
      <c r="L435" s="549"/>
      <c r="M435" s="549"/>
      <c r="N435" s="549"/>
      <c r="O435" s="549"/>
      <c r="P435" s="1529" t="s">
        <v>581</v>
      </c>
      <c r="Q435" s="738"/>
      <c r="R435" s="1646"/>
      <c r="S435" s="1646"/>
      <c r="T435" s="1370"/>
      <c r="U435" s="1370"/>
      <c r="V435" s="1370"/>
      <c r="W435" s="1370"/>
      <c r="X435" s="1646"/>
      <c r="Y435" s="1370"/>
      <c r="Z435" s="1370"/>
      <c r="AA435" s="740"/>
      <c r="AB435" s="1370"/>
      <c r="AC435" s="1370"/>
      <c r="AD435" s="1370"/>
      <c r="AE435" s="1370"/>
      <c r="AF435" s="1370"/>
      <c r="AG435" s="1636"/>
      <c r="AH435" s="1636"/>
      <c r="AI435" s="1636"/>
      <c r="AJ435" s="1636"/>
      <c r="AK435" s="1636"/>
      <c r="AL435" s="1639">
        <v>0</v>
      </c>
    </row>
    <row s="1854" customFormat="1" customHeight="1" ht="22.5">
      <c r="A436" s="991"/>
      <c r="B436" s="1370"/>
      <c r="C436" s="1646"/>
      <c r="D436" s="687" t="s">
        <v>104</v>
      </c>
      <c r="E436" s="550" t="str">
        <f>E356&amp;".79"</f>
        <v>16.79</v>
      </c>
      <c r="F436" s="544" t="s">
        <v>849</v>
      </c>
      <c r="G436" s="2370" t="s">
        <v>580</v>
      </c>
      <c r="H436" s="549"/>
      <c r="I436" s="549">
        <v>222.78</v>
      </c>
      <c r="J436" s="549"/>
      <c r="K436" s="549"/>
      <c r="L436" s="549"/>
      <c r="M436" s="549"/>
      <c r="N436" s="549"/>
      <c r="O436" s="549"/>
      <c r="P436" s="1529" t="s">
        <v>581</v>
      </c>
      <c r="Q436" s="738"/>
      <c r="R436" s="1646"/>
      <c r="S436" s="1646"/>
      <c r="T436" s="1370"/>
      <c r="U436" s="1370"/>
      <c r="V436" s="1370"/>
      <c r="W436" s="1370"/>
      <c r="X436" s="1646"/>
      <c r="Y436" s="1370"/>
      <c r="Z436" s="1370"/>
      <c r="AA436" s="740"/>
      <c r="AB436" s="1370"/>
      <c r="AC436" s="1370"/>
      <c r="AD436" s="1370"/>
      <c r="AE436" s="1370"/>
      <c r="AF436" s="1370"/>
      <c r="AG436" s="1636"/>
      <c r="AH436" s="1636"/>
      <c r="AI436" s="1636"/>
      <c r="AJ436" s="1636"/>
      <c r="AK436" s="1636"/>
      <c r="AL436" s="1639">
        <v>0</v>
      </c>
    </row>
    <row s="1854" customFormat="1" customHeight="1" ht="22.5">
      <c r="A437" s="991"/>
      <c r="B437" s="1370"/>
      <c r="C437" s="1646"/>
      <c r="D437" s="687" t="s">
        <v>104</v>
      </c>
      <c r="E437" s="550" t="str">
        <f>E356&amp;".80"</f>
        <v>16.80</v>
      </c>
      <c r="F437" s="544" t="s">
        <v>814</v>
      </c>
      <c r="G437" s="2370" t="s">
        <v>580</v>
      </c>
      <c r="H437" s="549"/>
      <c r="I437" s="549">
        <v>159.82</v>
      </c>
      <c r="J437" s="549"/>
      <c r="K437" s="549"/>
      <c r="L437" s="549"/>
      <c r="M437" s="549"/>
      <c r="N437" s="549"/>
      <c r="O437" s="549"/>
      <c r="P437" s="1529" t="s">
        <v>581</v>
      </c>
      <c r="Q437" s="738"/>
      <c r="R437" s="1646"/>
      <c r="S437" s="1646"/>
      <c r="T437" s="1370"/>
      <c r="U437" s="1370"/>
      <c r="V437" s="1370"/>
      <c r="W437" s="1370"/>
      <c r="X437" s="1646"/>
      <c r="Y437" s="1370"/>
      <c r="Z437" s="1370"/>
      <c r="AA437" s="740"/>
      <c r="AB437" s="1370"/>
      <c r="AC437" s="1370"/>
      <c r="AD437" s="1370"/>
      <c r="AE437" s="1370"/>
      <c r="AF437" s="1370"/>
      <c r="AG437" s="1636"/>
      <c r="AH437" s="1636"/>
      <c r="AI437" s="1636"/>
      <c r="AJ437" s="1636"/>
      <c r="AK437" s="1636"/>
      <c r="AL437" s="1639">
        <v>0</v>
      </c>
    </row>
    <row s="1854" customFormat="1" customHeight="1" ht="22.5">
      <c r="A438" s="991"/>
      <c r="B438" s="1370"/>
      <c r="C438" s="1646"/>
      <c r="D438" s="687" t="s">
        <v>104</v>
      </c>
      <c r="E438" s="550" t="str">
        <f>E356&amp;".81"</f>
        <v>16.81</v>
      </c>
      <c r="F438" s="544" t="s">
        <v>815</v>
      </c>
      <c r="G438" s="2370" t="s">
        <v>580</v>
      </c>
      <c r="H438" s="549"/>
      <c r="I438" s="549">
        <v>158.12</v>
      </c>
      <c r="J438" s="549"/>
      <c r="K438" s="549"/>
      <c r="L438" s="549"/>
      <c r="M438" s="549"/>
      <c r="N438" s="549"/>
      <c r="O438" s="549"/>
      <c r="P438" s="1529" t="s">
        <v>581</v>
      </c>
      <c r="Q438" s="738"/>
      <c r="R438" s="1646"/>
      <c r="S438" s="1646"/>
      <c r="T438" s="1370"/>
      <c r="U438" s="1370"/>
      <c r="V438" s="1370"/>
      <c r="W438" s="1370"/>
      <c r="X438" s="1646"/>
      <c r="Y438" s="1370"/>
      <c r="Z438" s="1370"/>
      <c r="AA438" s="740"/>
      <c r="AB438" s="1370"/>
      <c r="AC438" s="1370"/>
      <c r="AD438" s="1370"/>
      <c r="AE438" s="1370"/>
      <c r="AF438" s="1370"/>
      <c r="AG438" s="1636"/>
      <c r="AH438" s="1636"/>
      <c r="AI438" s="1636"/>
      <c r="AJ438" s="1636"/>
      <c r="AK438" s="1636"/>
      <c r="AL438" s="1639">
        <v>0</v>
      </c>
    </row>
    <row s="1854" customFormat="1" customHeight="1" ht="22.5">
      <c r="A439" s="991"/>
      <c r="B439" s="1370"/>
      <c r="C439" s="1646"/>
      <c r="D439" s="687" t="s">
        <v>104</v>
      </c>
      <c r="E439" s="550" t="str">
        <f>E356&amp;".82"</f>
        <v>16.82</v>
      </c>
      <c r="F439" s="544" t="s">
        <v>816</v>
      </c>
      <c r="G439" s="2370" t="s">
        <v>580</v>
      </c>
      <c r="H439" s="549"/>
      <c r="I439" s="549">
        <v>168</v>
      </c>
      <c r="J439" s="549"/>
      <c r="K439" s="549"/>
      <c r="L439" s="549"/>
      <c r="M439" s="549"/>
      <c r="N439" s="549"/>
      <c r="O439" s="549"/>
      <c r="P439" s="1529" t="s">
        <v>581</v>
      </c>
      <c r="Q439" s="738"/>
      <c r="R439" s="1646"/>
      <c r="S439" s="1646"/>
      <c r="T439" s="1370"/>
      <c r="U439" s="1370"/>
      <c r="V439" s="1370"/>
      <c r="W439" s="1370"/>
      <c r="X439" s="1646"/>
      <c r="Y439" s="1370"/>
      <c r="Z439" s="1370"/>
      <c r="AA439" s="740"/>
      <c r="AB439" s="1370"/>
      <c r="AC439" s="1370"/>
      <c r="AD439" s="1370"/>
      <c r="AE439" s="1370"/>
      <c r="AF439" s="1370"/>
      <c r="AG439" s="1636"/>
      <c r="AH439" s="1636"/>
      <c r="AI439" s="1636"/>
      <c r="AJ439" s="1636"/>
      <c r="AK439" s="1636"/>
      <c r="AL439" s="1639">
        <v>0</v>
      </c>
    </row>
    <row s="1854" customFormat="1" customHeight="1" ht="22.5">
      <c r="A440" s="991"/>
      <c r="B440" s="1370"/>
      <c r="C440" s="1646"/>
      <c r="D440" s="687" t="s">
        <v>104</v>
      </c>
      <c r="E440" s="550" t="str">
        <f>E356&amp;".83"</f>
        <v>16.83</v>
      </c>
      <c r="F440" s="544" t="s">
        <v>817</v>
      </c>
      <c r="G440" s="2370" t="s">
        <v>580</v>
      </c>
      <c r="H440" s="549"/>
      <c r="I440" s="549">
        <v>160.44</v>
      </c>
      <c r="J440" s="549"/>
      <c r="K440" s="549"/>
      <c r="L440" s="549"/>
      <c r="M440" s="549"/>
      <c r="N440" s="549"/>
      <c r="O440" s="549"/>
      <c r="P440" s="1529" t="s">
        <v>581</v>
      </c>
      <c r="Q440" s="738"/>
      <c r="R440" s="1646"/>
      <c r="S440" s="1646"/>
      <c r="T440" s="1370"/>
      <c r="U440" s="1370"/>
      <c r="V440" s="1370"/>
      <c r="W440" s="1370"/>
      <c r="X440" s="1646"/>
      <c r="Y440" s="1370"/>
      <c r="Z440" s="1370"/>
      <c r="AA440" s="740"/>
      <c r="AB440" s="1370"/>
      <c r="AC440" s="1370"/>
      <c r="AD440" s="1370"/>
      <c r="AE440" s="1370"/>
      <c r="AF440" s="1370"/>
      <c r="AG440" s="1636"/>
      <c r="AH440" s="1636"/>
      <c r="AI440" s="1636"/>
      <c r="AJ440" s="1636"/>
      <c r="AK440" s="1636"/>
      <c r="AL440" s="1639">
        <v>0</v>
      </c>
    </row>
    <row s="1854" customFormat="1" customHeight="1" ht="22.5">
      <c r="A441" s="991"/>
      <c r="B441" s="1370"/>
      <c r="C441" s="1646"/>
      <c r="D441" s="687" t="s">
        <v>104</v>
      </c>
      <c r="E441" s="550" t="str">
        <f>E356&amp;".84"</f>
        <v>16.84</v>
      </c>
      <c r="F441" s="544" t="s">
        <v>818</v>
      </c>
      <c r="G441" s="2370" t="s">
        <v>580</v>
      </c>
      <c r="H441" s="549"/>
      <c r="I441" s="549">
        <v>158.06</v>
      </c>
      <c r="J441" s="549"/>
      <c r="K441" s="549"/>
      <c r="L441" s="549"/>
      <c r="M441" s="549"/>
      <c r="N441" s="549"/>
      <c r="O441" s="549"/>
      <c r="P441" s="1529" t="s">
        <v>581</v>
      </c>
      <c r="Q441" s="738"/>
      <c r="R441" s="1646"/>
      <c r="S441" s="1646"/>
      <c r="T441" s="1370"/>
      <c r="U441" s="1370"/>
      <c r="V441" s="1370"/>
      <c r="W441" s="1370"/>
      <c r="X441" s="1646"/>
      <c r="Y441" s="1370"/>
      <c r="Z441" s="1370"/>
      <c r="AA441" s="740"/>
      <c r="AB441" s="1370"/>
      <c r="AC441" s="1370"/>
      <c r="AD441" s="1370"/>
      <c r="AE441" s="1370"/>
      <c r="AF441" s="1370"/>
      <c r="AG441" s="1636"/>
      <c r="AH441" s="1636"/>
      <c r="AI441" s="1636"/>
      <c r="AJ441" s="1636"/>
      <c r="AK441" s="1636"/>
      <c r="AL441" s="1639">
        <v>0</v>
      </c>
    </row>
    <row s="1854" customFormat="1" customHeight="1" ht="22.5">
      <c r="A442" s="991"/>
      <c r="B442" s="1370"/>
      <c r="C442" s="1646"/>
      <c r="D442" s="687" t="s">
        <v>104</v>
      </c>
      <c r="E442" s="550" t="str">
        <f>E356&amp;".85"</f>
        <v>16.85</v>
      </c>
      <c r="F442" s="544" t="s">
        <v>819</v>
      </c>
      <c r="G442" s="2370" t="s">
        <v>580</v>
      </c>
      <c r="H442" s="549"/>
      <c r="I442" s="549">
        <v>158.63</v>
      </c>
      <c r="J442" s="549"/>
      <c r="K442" s="549"/>
      <c r="L442" s="549"/>
      <c r="M442" s="549"/>
      <c r="N442" s="549"/>
      <c r="O442" s="549"/>
      <c r="P442" s="1529" t="s">
        <v>581</v>
      </c>
      <c r="Q442" s="738"/>
      <c r="R442" s="1646"/>
      <c r="S442" s="1646"/>
      <c r="T442" s="1370"/>
      <c r="U442" s="1370"/>
      <c r="V442" s="1370"/>
      <c r="W442" s="1370"/>
      <c r="X442" s="1646"/>
      <c r="Y442" s="1370"/>
      <c r="Z442" s="1370"/>
      <c r="AA442" s="740"/>
      <c r="AB442" s="1370"/>
      <c r="AC442" s="1370"/>
      <c r="AD442" s="1370"/>
      <c r="AE442" s="1370"/>
      <c r="AF442" s="1370"/>
      <c r="AG442" s="1636"/>
      <c r="AH442" s="1636"/>
      <c r="AI442" s="1636"/>
      <c r="AJ442" s="1636"/>
      <c r="AK442" s="1636"/>
      <c r="AL442" s="1639">
        <v>0</v>
      </c>
    </row>
    <row s="1854" customFormat="1" customHeight="1" ht="22.5">
      <c r="A443" s="991"/>
      <c r="B443" s="1370"/>
      <c r="C443" s="1646"/>
      <c r="D443" s="687" t="s">
        <v>104</v>
      </c>
      <c r="E443" s="550" t="str">
        <f>E356&amp;".86"</f>
        <v>16.86</v>
      </c>
      <c r="F443" s="544" t="s">
        <v>820</v>
      </c>
      <c r="G443" s="2370" t="s">
        <v>580</v>
      </c>
      <c r="H443" s="549"/>
      <c r="I443" s="549">
        <v>157.37</v>
      </c>
      <c r="J443" s="549"/>
      <c r="K443" s="549"/>
      <c r="L443" s="549"/>
      <c r="M443" s="549"/>
      <c r="N443" s="549"/>
      <c r="O443" s="549"/>
      <c r="P443" s="1529" t="s">
        <v>581</v>
      </c>
      <c r="Q443" s="738"/>
      <c r="R443" s="1646"/>
      <c r="S443" s="1646"/>
      <c r="T443" s="1370"/>
      <c r="U443" s="1370"/>
      <c r="V443" s="1370"/>
      <c r="W443" s="1370"/>
      <c r="X443" s="1646"/>
      <c r="Y443" s="1370"/>
      <c r="Z443" s="1370"/>
      <c r="AA443" s="740"/>
      <c r="AB443" s="1370"/>
      <c r="AC443" s="1370"/>
      <c r="AD443" s="1370"/>
      <c r="AE443" s="1370"/>
      <c r="AF443" s="1370"/>
      <c r="AG443" s="1636"/>
      <c r="AH443" s="1636"/>
      <c r="AI443" s="1636"/>
      <c r="AJ443" s="1636"/>
      <c r="AK443" s="1636"/>
      <c r="AL443" s="1639">
        <v>0</v>
      </c>
    </row>
    <row s="1854" customFormat="1" customHeight="1" ht="22.5">
      <c r="A444" s="991"/>
      <c r="B444" s="1370"/>
      <c r="C444" s="1646"/>
      <c r="D444" s="687" t="s">
        <v>104</v>
      </c>
      <c r="E444" s="550" t="str">
        <f>E356&amp;".87"</f>
        <v>16.87</v>
      </c>
      <c r="F444" s="544" t="s">
        <v>821</v>
      </c>
      <c r="G444" s="2370" t="s">
        <v>580</v>
      </c>
      <c r="H444" s="549"/>
      <c r="I444" s="549">
        <v>161.41</v>
      </c>
      <c r="J444" s="549"/>
      <c r="K444" s="549"/>
      <c r="L444" s="549"/>
      <c r="M444" s="549"/>
      <c r="N444" s="549"/>
      <c r="O444" s="549"/>
      <c r="P444" s="1529" t="s">
        <v>581</v>
      </c>
      <c r="Q444" s="738"/>
      <c r="R444" s="1646"/>
      <c r="S444" s="1646"/>
      <c r="T444" s="1370"/>
      <c r="U444" s="1370"/>
      <c r="V444" s="1370"/>
      <c r="W444" s="1370"/>
      <c r="X444" s="1646"/>
      <c r="Y444" s="1370"/>
      <c r="Z444" s="1370"/>
      <c r="AA444" s="740"/>
      <c r="AB444" s="1370"/>
      <c r="AC444" s="1370"/>
      <c r="AD444" s="1370"/>
      <c r="AE444" s="1370"/>
      <c r="AF444" s="1370"/>
      <c r="AG444" s="1636"/>
      <c r="AH444" s="1636"/>
      <c r="AI444" s="1636"/>
      <c r="AJ444" s="1636"/>
      <c r="AK444" s="1636"/>
      <c r="AL444" s="1639">
        <v>0</v>
      </c>
    </row>
    <row s="1854" customFormat="1" customHeight="1" ht="22.5">
      <c r="A445" s="991"/>
      <c r="B445" s="1370"/>
      <c r="C445" s="1646"/>
      <c r="D445" s="687" t="s">
        <v>104</v>
      </c>
      <c r="E445" s="550" t="str">
        <f>E356&amp;".88"</f>
        <v>16.88</v>
      </c>
      <c r="F445" s="544" t="s">
        <v>822</v>
      </c>
      <c r="G445" s="2370" t="s">
        <v>580</v>
      </c>
      <c r="H445" s="549"/>
      <c r="I445" s="549">
        <v>159.93</v>
      </c>
      <c r="J445" s="549"/>
      <c r="K445" s="549"/>
      <c r="L445" s="549"/>
      <c r="M445" s="549"/>
      <c r="N445" s="549"/>
      <c r="O445" s="549"/>
      <c r="P445" s="1529" t="s">
        <v>581</v>
      </c>
      <c r="Q445" s="738"/>
      <c r="R445" s="1646"/>
      <c r="S445" s="1646"/>
      <c r="T445" s="1370"/>
      <c r="U445" s="1370"/>
      <c r="V445" s="1370"/>
      <c r="W445" s="1370"/>
      <c r="X445" s="1646"/>
      <c r="Y445" s="1370"/>
      <c r="Z445" s="1370"/>
      <c r="AA445" s="740"/>
      <c r="AB445" s="1370"/>
      <c r="AC445" s="1370"/>
      <c r="AD445" s="1370"/>
      <c r="AE445" s="1370"/>
      <c r="AF445" s="1370"/>
      <c r="AG445" s="1636"/>
      <c r="AH445" s="1636"/>
      <c r="AI445" s="1636"/>
      <c r="AJ445" s="1636"/>
      <c r="AK445" s="1636"/>
      <c r="AL445" s="1639">
        <v>0</v>
      </c>
    </row>
    <row s="1854" customFormat="1" customHeight="1" ht="22.5">
      <c r="A446" s="991"/>
      <c r="B446" s="1370"/>
      <c r="C446" s="1646"/>
      <c r="D446" s="687" t="s">
        <v>104</v>
      </c>
      <c r="E446" s="550" t="str">
        <f>E356&amp;".89"</f>
        <v>16.89</v>
      </c>
      <c r="F446" s="544" t="s">
        <v>823</v>
      </c>
      <c r="G446" s="2370" t="s">
        <v>580</v>
      </c>
      <c r="H446" s="549"/>
      <c r="I446" s="549">
        <v>162.27</v>
      </c>
      <c r="J446" s="549"/>
      <c r="K446" s="549"/>
      <c r="L446" s="549"/>
      <c r="M446" s="549"/>
      <c r="N446" s="549"/>
      <c r="O446" s="549"/>
      <c r="P446" s="1529" t="s">
        <v>581</v>
      </c>
      <c r="Q446" s="738"/>
      <c r="R446" s="1646"/>
      <c r="S446" s="1646"/>
      <c r="T446" s="1370"/>
      <c r="U446" s="1370"/>
      <c r="V446" s="1370"/>
      <c r="W446" s="1370"/>
      <c r="X446" s="1646"/>
      <c r="Y446" s="1370"/>
      <c r="Z446" s="1370"/>
      <c r="AA446" s="740"/>
      <c r="AB446" s="1370"/>
      <c r="AC446" s="1370"/>
      <c r="AD446" s="1370"/>
      <c r="AE446" s="1370"/>
      <c r="AF446" s="1370"/>
      <c r="AG446" s="1636"/>
      <c r="AH446" s="1636"/>
      <c r="AI446" s="1636"/>
      <c r="AJ446" s="1636"/>
      <c r="AK446" s="1636"/>
      <c r="AL446" s="1639">
        <v>0</v>
      </c>
    </row>
    <row s="1854" customFormat="1" customHeight="1" ht="22.5">
      <c r="A447" s="991"/>
      <c r="B447" s="1370"/>
      <c r="C447" s="1646"/>
      <c r="D447" s="687" t="s">
        <v>104</v>
      </c>
      <c r="E447" s="550" t="str">
        <f>E356&amp;".90"</f>
        <v>16.90</v>
      </c>
      <c r="F447" s="544" t="s">
        <v>824</v>
      </c>
      <c r="G447" s="2370" t="s">
        <v>580</v>
      </c>
      <c r="H447" s="549"/>
      <c r="I447" s="549">
        <v>157.65</v>
      </c>
      <c r="J447" s="549"/>
      <c r="K447" s="549"/>
      <c r="L447" s="549"/>
      <c r="M447" s="549"/>
      <c r="N447" s="549"/>
      <c r="O447" s="549"/>
      <c r="P447" s="1529" t="s">
        <v>581</v>
      </c>
      <c r="Q447" s="738"/>
      <c r="R447" s="1646"/>
      <c r="S447" s="1646"/>
      <c r="T447" s="1370"/>
      <c r="U447" s="1370"/>
      <c r="V447" s="1370"/>
      <c r="W447" s="1370"/>
      <c r="X447" s="1646"/>
      <c r="Y447" s="1370"/>
      <c r="Z447" s="1370"/>
      <c r="AA447" s="740"/>
      <c r="AB447" s="1370"/>
      <c r="AC447" s="1370"/>
      <c r="AD447" s="1370"/>
      <c r="AE447" s="1370"/>
      <c r="AF447" s="1370"/>
      <c r="AG447" s="1636"/>
      <c r="AH447" s="1636"/>
      <c r="AI447" s="1636"/>
      <c r="AJ447" s="1636"/>
      <c r="AK447" s="1636"/>
      <c r="AL447" s="1639">
        <v>0</v>
      </c>
    </row>
    <row s="1854" customFormat="1" customHeight="1" ht="22.5">
      <c r="A448" s="991"/>
      <c r="B448" s="1370"/>
      <c r="C448" s="1646"/>
      <c r="D448" s="687" t="s">
        <v>104</v>
      </c>
      <c r="E448" s="550" t="str">
        <f>E356&amp;".91"</f>
        <v>16.91</v>
      </c>
      <c r="F448" s="544" t="s">
        <v>825</v>
      </c>
      <c r="G448" s="2370" t="s">
        <v>580</v>
      </c>
      <c r="H448" s="549"/>
      <c r="I448" s="549">
        <v>157.91</v>
      </c>
      <c r="J448" s="549"/>
      <c r="K448" s="549"/>
      <c r="L448" s="549"/>
      <c r="M448" s="549"/>
      <c r="N448" s="549"/>
      <c r="O448" s="549"/>
      <c r="P448" s="1529" t="s">
        <v>581</v>
      </c>
      <c r="Q448" s="738"/>
      <c r="R448" s="1646"/>
      <c r="S448" s="1646"/>
      <c r="T448" s="1370"/>
      <c r="U448" s="1370"/>
      <c r="V448" s="1370"/>
      <c r="W448" s="1370"/>
      <c r="X448" s="1646"/>
      <c r="Y448" s="1370"/>
      <c r="Z448" s="1370"/>
      <c r="AA448" s="740"/>
      <c r="AB448" s="1370"/>
      <c r="AC448" s="1370"/>
      <c r="AD448" s="1370"/>
      <c r="AE448" s="1370"/>
      <c r="AF448" s="1370"/>
      <c r="AG448" s="1636"/>
      <c r="AH448" s="1636"/>
      <c r="AI448" s="1636"/>
      <c r="AJ448" s="1636"/>
      <c r="AK448" s="1636"/>
      <c r="AL448" s="1639">
        <v>0</v>
      </c>
    </row>
    <row s="1854" customFormat="1" customHeight="1" ht="22.5">
      <c r="A449" s="991"/>
      <c r="B449" s="1370"/>
      <c r="C449" s="1646"/>
      <c r="D449" s="687" t="s">
        <v>104</v>
      </c>
      <c r="E449" s="550" t="str">
        <f>E356&amp;".92"</f>
        <v>16.92</v>
      </c>
      <c r="F449" s="544" t="s">
        <v>826</v>
      </c>
      <c r="G449" s="2370" t="s">
        <v>580</v>
      </c>
      <c r="H449" s="549"/>
      <c r="I449" s="549">
        <v>159.52</v>
      </c>
      <c r="J449" s="549"/>
      <c r="K449" s="549"/>
      <c r="L449" s="549"/>
      <c r="M449" s="549"/>
      <c r="N449" s="549"/>
      <c r="O449" s="549"/>
      <c r="P449" s="1529" t="s">
        <v>581</v>
      </c>
      <c r="Q449" s="738"/>
      <c r="R449" s="1646"/>
      <c r="S449" s="1646"/>
      <c r="T449" s="1370"/>
      <c r="U449" s="1370"/>
      <c r="V449" s="1370"/>
      <c r="W449" s="1370"/>
      <c r="X449" s="1646"/>
      <c r="Y449" s="1370"/>
      <c r="Z449" s="1370"/>
      <c r="AA449" s="740"/>
      <c r="AB449" s="1370"/>
      <c r="AC449" s="1370"/>
      <c r="AD449" s="1370"/>
      <c r="AE449" s="1370"/>
      <c r="AF449" s="1370"/>
      <c r="AG449" s="1636"/>
      <c r="AH449" s="1636"/>
      <c r="AI449" s="1636"/>
      <c r="AJ449" s="1636"/>
      <c r="AK449" s="1636"/>
      <c r="AL449" s="1639">
        <v>0</v>
      </c>
    </row>
    <row s="1854" customFormat="1" customHeight="1" ht="22.5">
      <c r="A450" s="991"/>
      <c r="B450" s="1370"/>
      <c r="C450" s="1646"/>
      <c r="D450" s="687" t="s">
        <v>104</v>
      </c>
      <c r="E450" s="550" t="str">
        <f>E356&amp;".93"</f>
        <v>16.93</v>
      </c>
      <c r="F450" s="544" t="s">
        <v>827</v>
      </c>
      <c r="G450" s="2370" t="s">
        <v>580</v>
      </c>
      <c r="H450" s="549"/>
      <c r="I450" s="549">
        <v>156.25</v>
      </c>
      <c r="J450" s="549"/>
      <c r="K450" s="549"/>
      <c r="L450" s="549"/>
      <c r="M450" s="549"/>
      <c r="N450" s="549"/>
      <c r="O450" s="549"/>
      <c r="P450" s="1529" t="s">
        <v>581</v>
      </c>
      <c r="Q450" s="738"/>
      <c r="R450" s="1646"/>
      <c r="S450" s="1646"/>
      <c r="T450" s="1370"/>
      <c r="U450" s="1370"/>
      <c r="V450" s="1370"/>
      <c r="W450" s="1370"/>
      <c r="X450" s="1646"/>
      <c r="Y450" s="1370"/>
      <c r="Z450" s="1370"/>
      <c r="AA450" s="740"/>
      <c r="AB450" s="1370"/>
      <c r="AC450" s="1370"/>
      <c r="AD450" s="1370"/>
      <c r="AE450" s="1370"/>
      <c r="AF450" s="1370"/>
      <c r="AG450" s="1636"/>
      <c r="AH450" s="1636"/>
      <c r="AI450" s="1636"/>
      <c r="AJ450" s="1636"/>
      <c r="AK450" s="1636"/>
      <c r="AL450" s="1639">
        <v>0</v>
      </c>
    </row>
    <row s="1854" customFormat="1" customHeight="1" ht="22.5">
      <c r="A451" s="991"/>
      <c r="B451" s="1370"/>
      <c r="C451" s="1646"/>
      <c r="D451" s="687" t="s">
        <v>104</v>
      </c>
      <c r="E451" s="550" t="str">
        <f>E356&amp;".94"</f>
        <v>16.94</v>
      </c>
      <c r="F451" s="544" t="s">
        <v>828</v>
      </c>
      <c r="G451" s="2370" t="s">
        <v>580</v>
      </c>
      <c r="H451" s="549"/>
      <c r="I451" s="549">
        <v>157.64</v>
      </c>
      <c r="J451" s="549"/>
      <c r="K451" s="549"/>
      <c r="L451" s="549"/>
      <c r="M451" s="549"/>
      <c r="N451" s="549"/>
      <c r="O451" s="549"/>
      <c r="P451" s="1529" t="s">
        <v>581</v>
      </c>
      <c r="Q451" s="738"/>
      <c r="R451" s="1646"/>
      <c r="S451" s="1646"/>
      <c r="T451" s="1370"/>
      <c r="U451" s="1370"/>
      <c r="V451" s="1370"/>
      <c r="W451" s="1370"/>
      <c r="X451" s="1646"/>
      <c r="Y451" s="1370"/>
      <c r="Z451" s="1370"/>
      <c r="AA451" s="740"/>
      <c r="AB451" s="1370"/>
      <c r="AC451" s="1370"/>
      <c r="AD451" s="1370"/>
      <c r="AE451" s="1370"/>
      <c r="AF451" s="1370"/>
      <c r="AG451" s="1636"/>
      <c r="AH451" s="1636"/>
      <c r="AI451" s="1636"/>
      <c r="AJ451" s="1636"/>
      <c r="AK451" s="1636"/>
      <c r="AL451" s="1639">
        <v>0</v>
      </c>
    </row>
    <row s="1854" customFormat="1" customHeight="1" ht="22.5">
      <c r="A452" s="991"/>
      <c r="B452" s="1370"/>
      <c r="C452" s="1646"/>
      <c r="D452" s="687" t="s">
        <v>104</v>
      </c>
      <c r="E452" s="550" t="str">
        <f>E356&amp;".95"</f>
        <v>16.95</v>
      </c>
      <c r="F452" s="544" t="s">
        <v>829</v>
      </c>
      <c r="G452" s="2370" t="s">
        <v>580</v>
      </c>
      <c r="H452" s="549"/>
      <c r="I452" s="549">
        <v>157.25</v>
      </c>
      <c r="J452" s="549"/>
      <c r="K452" s="549"/>
      <c r="L452" s="549"/>
      <c r="M452" s="549"/>
      <c r="N452" s="549"/>
      <c r="O452" s="549"/>
      <c r="P452" s="1529" t="s">
        <v>581</v>
      </c>
      <c r="Q452" s="738"/>
      <c r="R452" s="1646"/>
      <c r="S452" s="1646"/>
      <c r="T452" s="1370"/>
      <c r="U452" s="1370"/>
      <c r="V452" s="1370"/>
      <c r="W452" s="1370"/>
      <c r="X452" s="1646"/>
      <c r="Y452" s="1370"/>
      <c r="Z452" s="1370"/>
      <c r="AA452" s="740"/>
      <c r="AB452" s="1370"/>
      <c r="AC452" s="1370"/>
      <c r="AD452" s="1370"/>
      <c r="AE452" s="1370"/>
      <c r="AF452" s="1370"/>
      <c r="AG452" s="1636"/>
      <c r="AH452" s="1636"/>
      <c r="AI452" s="1636"/>
      <c r="AJ452" s="1636"/>
      <c r="AK452" s="1636"/>
      <c r="AL452" s="1639">
        <v>0</v>
      </c>
    </row>
    <row s="1854" customFormat="1" customHeight="1" ht="22.5">
      <c r="A453" s="991"/>
      <c r="B453" s="1370"/>
      <c r="C453" s="1646"/>
      <c r="D453" s="687" t="s">
        <v>104</v>
      </c>
      <c r="E453" s="550" t="str">
        <f>E356&amp;".96"</f>
        <v>16.96</v>
      </c>
      <c r="F453" s="544" t="s">
        <v>830</v>
      </c>
      <c r="G453" s="2370" t="s">
        <v>580</v>
      </c>
      <c r="H453" s="549"/>
      <c r="I453" s="549">
        <v>179.55</v>
      </c>
      <c r="J453" s="549"/>
      <c r="K453" s="549"/>
      <c r="L453" s="549"/>
      <c r="M453" s="549"/>
      <c r="N453" s="549"/>
      <c r="O453" s="549"/>
      <c r="P453" s="1529" t="s">
        <v>581</v>
      </c>
      <c r="Q453" s="738"/>
      <c r="R453" s="1646"/>
      <c r="S453" s="1646"/>
      <c r="T453" s="1370"/>
      <c r="U453" s="1370"/>
      <c r="V453" s="1370"/>
      <c r="W453" s="1370"/>
      <c r="X453" s="1646"/>
      <c r="Y453" s="1370"/>
      <c r="Z453" s="1370"/>
      <c r="AA453" s="740"/>
      <c r="AB453" s="1370"/>
      <c r="AC453" s="1370"/>
      <c r="AD453" s="1370"/>
      <c r="AE453" s="1370"/>
      <c r="AF453" s="1370"/>
      <c r="AG453" s="1636"/>
      <c r="AH453" s="1636"/>
      <c r="AI453" s="1636"/>
      <c r="AJ453" s="1636"/>
      <c r="AK453" s="1636"/>
      <c r="AL453" s="1639">
        <v>0</v>
      </c>
    </row>
    <row s="1854" customFormat="1" customHeight="1" ht="22.5">
      <c r="A454" s="991"/>
      <c r="B454" s="1370"/>
      <c r="C454" s="1646"/>
      <c r="D454" s="687" t="s">
        <v>104</v>
      </c>
      <c r="E454" s="550" t="str">
        <f>E356&amp;".97"</f>
        <v>16.97</v>
      </c>
      <c r="F454" s="544" t="s">
        <v>831</v>
      </c>
      <c r="G454" s="2370" t="s">
        <v>580</v>
      </c>
      <c r="H454" s="549"/>
      <c r="I454" s="549">
        <v>157.2</v>
      </c>
      <c r="J454" s="549"/>
      <c r="K454" s="549"/>
      <c r="L454" s="549"/>
      <c r="M454" s="549"/>
      <c r="N454" s="549"/>
      <c r="O454" s="549"/>
      <c r="P454" s="1529" t="s">
        <v>581</v>
      </c>
      <c r="Q454" s="738"/>
      <c r="R454" s="1646"/>
      <c r="S454" s="1646"/>
      <c r="T454" s="1370"/>
      <c r="U454" s="1370"/>
      <c r="V454" s="1370"/>
      <c r="W454" s="1370"/>
      <c r="X454" s="1646"/>
      <c r="Y454" s="1370"/>
      <c r="Z454" s="1370"/>
      <c r="AA454" s="740"/>
      <c r="AB454" s="1370"/>
      <c r="AC454" s="1370"/>
      <c r="AD454" s="1370"/>
      <c r="AE454" s="1370"/>
      <c r="AF454" s="1370"/>
      <c r="AG454" s="1636"/>
      <c r="AH454" s="1636"/>
      <c r="AI454" s="1636"/>
      <c r="AJ454" s="1636"/>
      <c r="AK454" s="1636"/>
      <c r="AL454" s="1639">
        <v>0</v>
      </c>
    </row>
    <row s="1854" customFormat="1" customHeight="1" ht="22.5">
      <c r="A455" s="991"/>
      <c r="B455" s="1370"/>
      <c r="C455" s="1646"/>
      <c r="D455" s="687" t="s">
        <v>104</v>
      </c>
      <c r="E455" s="550" t="str">
        <f>E356&amp;".98"</f>
        <v>16.98</v>
      </c>
      <c r="F455" s="544" t="s">
        <v>832</v>
      </c>
      <c r="G455" s="2370" t="s">
        <v>580</v>
      </c>
      <c r="H455" s="549"/>
      <c r="I455" s="549">
        <v>161.12</v>
      </c>
      <c r="J455" s="549"/>
      <c r="K455" s="549"/>
      <c r="L455" s="549"/>
      <c r="M455" s="549"/>
      <c r="N455" s="549"/>
      <c r="O455" s="549"/>
      <c r="P455" s="1529" t="s">
        <v>581</v>
      </c>
      <c r="Q455" s="738"/>
      <c r="R455" s="1646"/>
      <c r="S455" s="1646"/>
      <c r="T455" s="1370"/>
      <c r="U455" s="1370"/>
      <c r="V455" s="1370"/>
      <c r="W455" s="1370"/>
      <c r="X455" s="1646"/>
      <c r="Y455" s="1370"/>
      <c r="Z455" s="1370"/>
      <c r="AA455" s="740"/>
      <c r="AB455" s="1370"/>
      <c r="AC455" s="1370"/>
      <c r="AD455" s="1370"/>
      <c r="AE455" s="1370"/>
      <c r="AF455" s="1370"/>
      <c r="AG455" s="1636"/>
      <c r="AH455" s="1636"/>
      <c r="AI455" s="1636"/>
      <c r="AJ455" s="1636"/>
      <c r="AK455" s="1636"/>
      <c r="AL455" s="1639">
        <v>0</v>
      </c>
    </row>
    <row s="1854" customFormat="1" customHeight="1" ht="22.5">
      <c r="A456" s="991"/>
      <c r="B456" s="1370"/>
      <c r="C456" s="1646"/>
      <c r="D456" s="687" t="s">
        <v>104</v>
      </c>
      <c r="E456" s="550" t="str">
        <f>E356&amp;".99"</f>
        <v>16.99</v>
      </c>
      <c r="F456" s="544" t="s">
        <v>833</v>
      </c>
      <c r="G456" s="2370" t="s">
        <v>580</v>
      </c>
      <c r="H456" s="549"/>
      <c r="I456" s="549">
        <v>175.94</v>
      </c>
      <c r="J456" s="549"/>
      <c r="K456" s="549"/>
      <c r="L456" s="549"/>
      <c r="M456" s="549"/>
      <c r="N456" s="549"/>
      <c r="O456" s="549"/>
      <c r="P456" s="1529" t="s">
        <v>581</v>
      </c>
      <c r="Q456" s="738"/>
      <c r="R456" s="1646"/>
      <c r="S456" s="1646"/>
      <c r="T456" s="1370"/>
      <c r="U456" s="1370"/>
      <c r="V456" s="1370"/>
      <c r="W456" s="1370"/>
      <c r="X456" s="1646"/>
      <c r="Y456" s="1370"/>
      <c r="Z456" s="1370"/>
      <c r="AA456" s="740"/>
      <c r="AB456" s="1370"/>
      <c r="AC456" s="1370"/>
      <c r="AD456" s="1370"/>
      <c r="AE456" s="1370"/>
      <c r="AF456" s="1370"/>
      <c r="AG456" s="1636"/>
      <c r="AH456" s="1636"/>
      <c r="AI456" s="1636"/>
      <c r="AJ456" s="1636"/>
      <c r="AK456" s="1636"/>
      <c r="AL456" s="1639">
        <v>0</v>
      </c>
    </row>
    <row s="1854" customFormat="1" customHeight="1" ht="22.5">
      <c r="A457" s="991"/>
      <c r="B457" s="1370"/>
      <c r="C457" s="1646"/>
      <c r="D457" s="687" t="s">
        <v>104</v>
      </c>
      <c r="E457" s="550" t="str">
        <f>E356&amp;".100"</f>
        <v>16.100</v>
      </c>
      <c r="F457" s="544" t="s">
        <v>834</v>
      </c>
      <c r="G457" s="2370" t="s">
        <v>580</v>
      </c>
      <c r="H457" s="549"/>
      <c r="I457" s="549">
        <v>160.56</v>
      </c>
      <c r="J457" s="549"/>
      <c r="K457" s="549"/>
      <c r="L457" s="549"/>
      <c r="M457" s="549"/>
      <c r="N457" s="549"/>
      <c r="O457" s="549"/>
      <c r="P457" s="1529" t="s">
        <v>581</v>
      </c>
      <c r="Q457" s="738"/>
      <c r="R457" s="1646"/>
      <c r="S457" s="1646"/>
      <c r="T457" s="1370"/>
      <c r="U457" s="1370"/>
      <c r="V457" s="1370"/>
      <c r="W457" s="1370"/>
      <c r="X457" s="1646"/>
      <c r="Y457" s="1370"/>
      <c r="Z457" s="1370"/>
      <c r="AA457" s="740"/>
      <c r="AB457" s="1370"/>
      <c r="AC457" s="1370"/>
      <c r="AD457" s="1370"/>
      <c r="AE457" s="1370"/>
      <c r="AF457" s="1370"/>
      <c r="AG457" s="1636"/>
      <c r="AH457" s="1636"/>
      <c r="AI457" s="1636"/>
      <c r="AJ457" s="1636"/>
      <c r="AK457" s="1636"/>
      <c r="AL457" s="1639">
        <v>0</v>
      </c>
    </row>
    <row s="1854" customFormat="1" customHeight="1" ht="22.5">
      <c r="A458" s="991"/>
      <c r="B458" s="1370"/>
      <c r="C458" s="1646"/>
      <c r="D458" s="687" t="s">
        <v>104</v>
      </c>
      <c r="E458" s="550" t="str">
        <f>E356&amp;".101"</f>
        <v>16.101</v>
      </c>
      <c r="F458" s="544" t="s">
        <v>835</v>
      </c>
      <c r="G458" s="2370" t="s">
        <v>580</v>
      </c>
      <c r="H458" s="549"/>
      <c r="I458" s="549">
        <v>157.09</v>
      </c>
      <c r="J458" s="549"/>
      <c r="K458" s="549"/>
      <c r="L458" s="549"/>
      <c r="M458" s="549"/>
      <c r="N458" s="549"/>
      <c r="O458" s="549"/>
      <c r="P458" s="1529" t="s">
        <v>581</v>
      </c>
      <c r="Q458" s="738"/>
      <c r="R458" s="1646"/>
      <c r="S458" s="1646"/>
      <c r="T458" s="1370"/>
      <c r="U458" s="1370"/>
      <c r="V458" s="1370"/>
      <c r="W458" s="1370"/>
      <c r="X458" s="1646"/>
      <c r="Y458" s="1370"/>
      <c r="Z458" s="1370"/>
      <c r="AA458" s="740"/>
      <c r="AB458" s="1370"/>
      <c r="AC458" s="1370"/>
      <c r="AD458" s="1370"/>
      <c r="AE458" s="1370"/>
      <c r="AF458" s="1370"/>
      <c r="AG458" s="1636"/>
      <c r="AH458" s="1636"/>
      <c r="AI458" s="1636"/>
      <c r="AJ458" s="1636"/>
      <c r="AK458" s="1636"/>
      <c r="AL458" s="1639">
        <v>0</v>
      </c>
    </row>
    <row s="1854" customFormat="1" customHeight="1" ht="22.5">
      <c r="A459" s="991"/>
      <c r="B459" s="1370"/>
      <c r="C459" s="1646"/>
      <c r="D459" s="687" t="s">
        <v>104</v>
      </c>
      <c r="E459" s="550" t="str">
        <f>E356&amp;".102"</f>
        <v>16.102</v>
      </c>
      <c r="F459" s="544" t="s">
        <v>836</v>
      </c>
      <c r="G459" s="2370" t="s">
        <v>580</v>
      </c>
      <c r="H459" s="549"/>
      <c r="I459" s="549">
        <v>129.2</v>
      </c>
      <c r="J459" s="549"/>
      <c r="K459" s="549"/>
      <c r="L459" s="549"/>
      <c r="M459" s="549"/>
      <c r="N459" s="549"/>
      <c r="O459" s="549"/>
      <c r="P459" s="1529" t="s">
        <v>581</v>
      </c>
      <c r="Q459" s="738"/>
      <c r="R459" s="1646"/>
      <c r="S459" s="1646"/>
      <c r="T459" s="1370"/>
      <c r="U459" s="1370"/>
      <c r="V459" s="1370"/>
      <c r="W459" s="1370"/>
      <c r="X459" s="1646"/>
      <c r="Y459" s="1370"/>
      <c r="Z459" s="1370"/>
      <c r="AA459" s="740"/>
      <c r="AB459" s="1370"/>
      <c r="AC459" s="1370"/>
      <c r="AD459" s="1370"/>
      <c r="AE459" s="1370"/>
      <c r="AF459" s="1370"/>
      <c r="AG459" s="1636"/>
      <c r="AH459" s="1636"/>
      <c r="AI459" s="1636"/>
      <c r="AJ459" s="1636"/>
      <c r="AK459" s="1636"/>
      <c r="AL459" s="1639">
        <v>0</v>
      </c>
    </row>
    <row s="1854" customFormat="1" customHeight="1" ht="22.5">
      <c r="A460" s="991"/>
      <c r="B460" s="1370"/>
      <c r="C460" s="1646"/>
      <c r="D460" s="687" t="s">
        <v>104</v>
      </c>
      <c r="E460" s="550" t="str">
        <f>E356&amp;".103"</f>
        <v>16.103</v>
      </c>
      <c r="F460" s="544" t="s">
        <v>837</v>
      </c>
      <c r="G460" s="2370" t="s">
        <v>580</v>
      </c>
      <c r="H460" s="549"/>
      <c r="I460" s="549">
        <v>160.03</v>
      </c>
      <c r="J460" s="549"/>
      <c r="K460" s="549"/>
      <c r="L460" s="549"/>
      <c r="M460" s="549"/>
      <c r="N460" s="549"/>
      <c r="O460" s="549"/>
      <c r="P460" s="1529" t="s">
        <v>581</v>
      </c>
      <c r="Q460" s="738"/>
      <c r="R460" s="1646"/>
      <c r="S460" s="1646"/>
      <c r="T460" s="1370"/>
      <c r="U460" s="1370"/>
      <c r="V460" s="1370"/>
      <c r="W460" s="1370"/>
      <c r="X460" s="1646"/>
      <c r="Y460" s="1370"/>
      <c r="Z460" s="1370"/>
      <c r="AA460" s="740"/>
      <c r="AB460" s="1370"/>
      <c r="AC460" s="1370"/>
      <c r="AD460" s="1370"/>
      <c r="AE460" s="1370"/>
      <c r="AF460" s="1370"/>
      <c r="AG460" s="1636"/>
      <c r="AH460" s="1636"/>
      <c r="AI460" s="1636"/>
      <c r="AJ460" s="1636"/>
      <c r="AK460" s="1636"/>
      <c r="AL460" s="1639">
        <v>0</v>
      </c>
    </row>
    <row s="1854" customFormat="1" customHeight="1" ht="22.5">
      <c r="A461" s="991"/>
      <c r="B461" s="1370"/>
      <c r="C461" s="1646"/>
      <c r="D461" s="687" t="s">
        <v>104</v>
      </c>
      <c r="E461" s="550" t="str">
        <f>E356&amp;".104"</f>
        <v>16.104</v>
      </c>
      <c r="F461" s="544" t="s">
        <v>838</v>
      </c>
      <c r="G461" s="2370" t="s">
        <v>580</v>
      </c>
      <c r="H461" s="549"/>
      <c r="I461" s="549">
        <v>156.32</v>
      </c>
      <c r="J461" s="549"/>
      <c r="K461" s="549"/>
      <c r="L461" s="549"/>
      <c r="M461" s="549"/>
      <c r="N461" s="549"/>
      <c r="O461" s="549"/>
      <c r="P461" s="1529" t="s">
        <v>581</v>
      </c>
      <c r="Q461" s="738"/>
      <c r="R461" s="1646"/>
      <c r="S461" s="1646"/>
      <c r="T461" s="1370"/>
      <c r="U461" s="1370"/>
      <c r="V461" s="1370"/>
      <c r="W461" s="1370"/>
      <c r="X461" s="1646"/>
      <c r="Y461" s="1370"/>
      <c r="Z461" s="1370"/>
      <c r="AA461" s="740"/>
      <c r="AB461" s="1370"/>
      <c r="AC461" s="1370"/>
      <c r="AD461" s="1370"/>
      <c r="AE461" s="1370"/>
      <c r="AF461" s="1370"/>
      <c r="AG461" s="1636"/>
      <c r="AH461" s="1636"/>
      <c r="AI461" s="1636"/>
      <c r="AJ461" s="1636"/>
      <c r="AK461" s="1636"/>
      <c r="AL461" s="1639">
        <v>0</v>
      </c>
    </row>
    <row s="1854" customFormat="1" customHeight="1" ht="22.5">
      <c r="A462" s="991"/>
      <c r="B462" s="1370"/>
      <c r="C462" s="1646"/>
      <c r="D462" s="687" t="s">
        <v>104</v>
      </c>
      <c r="E462" s="550" t="str">
        <f>E356&amp;".105"</f>
        <v>16.105</v>
      </c>
      <c r="F462" s="544" t="s">
        <v>839</v>
      </c>
      <c r="G462" s="2370" t="s">
        <v>580</v>
      </c>
      <c r="H462" s="549"/>
      <c r="I462" s="549">
        <v>159.09</v>
      </c>
      <c r="J462" s="549"/>
      <c r="K462" s="549"/>
      <c r="L462" s="549"/>
      <c r="M462" s="549"/>
      <c r="N462" s="549"/>
      <c r="O462" s="549"/>
      <c r="P462" s="1529" t="s">
        <v>581</v>
      </c>
      <c r="Q462" s="738"/>
      <c r="R462" s="1646"/>
      <c r="S462" s="1646"/>
      <c r="T462" s="1370"/>
      <c r="U462" s="1370"/>
      <c r="V462" s="1370"/>
      <c r="W462" s="1370"/>
      <c r="X462" s="1646"/>
      <c r="Y462" s="1370"/>
      <c r="Z462" s="1370"/>
      <c r="AA462" s="740"/>
      <c r="AB462" s="1370"/>
      <c r="AC462" s="1370"/>
      <c r="AD462" s="1370"/>
      <c r="AE462" s="1370"/>
      <c r="AF462" s="1370"/>
      <c r="AG462" s="1636"/>
      <c r="AH462" s="1636"/>
      <c r="AI462" s="1636"/>
      <c r="AJ462" s="1636"/>
      <c r="AK462" s="1636"/>
      <c r="AL462" s="1639">
        <v>0</v>
      </c>
    </row>
    <row s="1854" customFormat="1" customHeight="1" ht="22.5">
      <c r="A463" s="991"/>
      <c r="B463" s="1370"/>
      <c r="C463" s="1646"/>
      <c r="D463" s="687" t="s">
        <v>104</v>
      </c>
      <c r="E463" s="550" t="str">
        <f>E356&amp;".106"</f>
        <v>16.106</v>
      </c>
      <c r="F463" s="544" t="s">
        <v>850</v>
      </c>
      <c r="G463" s="2370" t="s">
        <v>580</v>
      </c>
      <c r="H463" s="549"/>
      <c r="I463" s="549">
        <v>174.64</v>
      </c>
      <c r="J463" s="549"/>
      <c r="K463" s="549"/>
      <c r="L463" s="549"/>
      <c r="M463" s="549"/>
      <c r="N463" s="549"/>
      <c r="O463" s="549"/>
      <c r="P463" s="1529" t="s">
        <v>581</v>
      </c>
      <c r="Q463" s="738"/>
      <c r="R463" s="1646"/>
      <c r="S463" s="1646"/>
      <c r="T463" s="1370"/>
      <c r="U463" s="1370"/>
      <c r="V463" s="1370"/>
      <c r="W463" s="1370"/>
      <c r="X463" s="1646"/>
      <c r="Y463" s="1370"/>
      <c r="Z463" s="1370"/>
      <c r="AA463" s="740"/>
      <c r="AB463" s="1370"/>
      <c r="AC463" s="1370"/>
      <c r="AD463" s="1370"/>
      <c r="AE463" s="1370"/>
      <c r="AF463" s="1370"/>
      <c r="AG463" s="1636"/>
      <c r="AH463" s="1636"/>
      <c r="AI463" s="1636"/>
      <c r="AJ463" s="1636"/>
      <c r="AK463" s="1636"/>
      <c r="AL463" s="1639">
        <v>0</v>
      </c>
    </row>
    <row s="1854" customFormat="1" customHeight="1" ht="22.5">
      <c r="A464" s="991"/>
      <c r="B464" s="1370"/>
      <c r="C464" s="1646"/>
      <c r="D464" s="687" t="s">
        <v>104</v>
      </c>
      <c r="E464" s="550" t="str">
        <f>E356&amp;".107"</f>
        <v>16.107</v>
      </c>
      <c r="F464" s="544" t="s">
        <v>840</v>
      </c>
      <c r="G464" s="2370" t="s">
        <v>580</v>
      </c>
      <c r="H464" s="549"/>
      <c r="I464" s="549"/>
      <c r="J464" s="549">
        <v>156.03</v>
      </c>
      <c r="K464" s="549"/>
      <c r="L464" s="549"/>
      <c r="M464" s="549"/>
      <c r="N464" s="549"/>
      <c r="O464" s="549"/>
      <c r="P464" s="1529" t="s">
        <v>581</v>
      </c>
      <c r="Q464" s="738"/>
      <c r="R464" s="1646"/>
      <c r="S464" s="1646"/>
      <c r="T464" s="1370"/>
      <c r="U464" s="1370"/>
      <c r="V464" s="1370"/>
      <c r="W464" s="1370"/>
      <c r="X464" s="1646"/>
      <c r="Y464" s="1370"/>
      <c r="Z464" s="1370"/>
      <c r="AA464" s="740"/>
      <c r="AB464" s="1370"/>
      <c r="AC464" s="1370"/>
      <c r="AD464" s="1370"/>
      <c r="AE464" s="1370"/>
      <c r="AF464" s="1370"/>
      <c r="AG464" s="1636"/>
      <c r="AH464" s="1636"/>
      <c r="AI464" s="1636"/>
      <c r="AJ464" s="1636"/>
      <c r="AK464" s="1636"/>
      <c r="AL464" s="1639">
        <v>0</v>
      </c>
    </row>
    <row s="1854" customFormat="1" customHeight="1" ht="22.5">
      <c r="A465" s="991"/>
      <c r="B465" s="1370"/>
      <c r="C465" s="1646"/>
      <c r="D465" s="687" t="s">
        <v>104</v>
      </c>
      <c r="E465" s="550" t="str">
        <f>E356&amp;".108"</f>
        <v>16.108</v>
      </c>
      <c r="F465" s="544" t="s">
        <v>841</v>
      </c>
      <c r="G465" s="2370" t="s">
        <v>580</v>
      </c>
      <c r="H465" s="549"/>
      <c r="I465" s="549"/>
      <c r="J465" s="549"/>
      <c r="K465" s="549">
        <v>148.83</v>
      </c>
      <c r="L465" s="549"/>
      <c r="M465" s="549"/>
      <c r="N465" s="549"/>
      <c r="O465" s="549"/>
      <c r="P465" s="1529" t="s">
        <v>581</v>
      </c>
      <c r="Q465" s="738"/>
      <c r="R465" s="1646"/>
      <c r="S465" s="1646"/>
      <c r="T465" s="1370"/>
      <c r="U465" s="1370"/>
      <c r="V465" s="1370"/>
      <c r="W465" s="1370"/>
      <c r="X465" s="1646"/>
      <c r="Y465" s="1370"/>
      <c r="Z465" s="1370"/>
      <c r="AA465" s="740"/>
      <c r="AB465" s="1370"/>
      <c r="AC465" s="1370"/>
      <c r="AD465" s="1370"/>
      <c r="AE465" s="1370"/>
      <c r="AF465" s="1370"/>
      <c r="AG465" s="1636"/>
      <c r="AH465" s="1636"/>
      <c r="AI465" s="1636"/>
      <c r="AJ465" s="1636"/>
      <c r="AK465" s="1636"/>
      <c r="AL465" s="1639">
        <v>0</v>
      </c>
    </row>
    <row s="1854" customFormat="1" customHeight="1" ht="22.5">
      <c r="A466" s="991"/>
      <c r="B466" s="1370"/>
      <c r="C466" s="1646"/>
      <c r="D466" s="687" t="s">
        <v>104</v>
      </c>
      <c r="E466" s="550" t="str">
        <f>E356&amp;".109"</f>
        <v>16.109</v>
      </c>
      <c r="F466" s="544" t="s">
        <v>842</v>
      </c>
      <c r="G466" s="2370" t="s">
        <v>580</v>
      </c>
      <c r="H466" s="549"/>
      <c r="I466" s="549"/>
      <c r="J466" s="549"/>
      <c r="K466" s="549">
        <v>148.91</v>
      </c>
      <c r="L466" s="549"/>
      <c r="M466" s="549"/>
      <c r="N466" s="549"/>
      <c r="O466" s="549"/>
      <c r="P466" s="1529" t="s">
        <v>581</v>
      </c>
      <c r="Q466" s="738"/>
      <c r="R466" s="1646"/>
      <c r="S466" s="1646"/>
      <c r="T466" s="1370"/>
      <c r="U466" s="1370"/>
      <c r="V466" s="1370"/>
      <c r="W466" s="1370"/>
      <c r="X466" s="1646"/>
      <c r="Y466" s="1370"/>
      <c r="Z466" s="1370"/>
      <c r="AA466" s="740"/>
      <c r="AB466" s="1370"/>
      <c r="AC466" s="1370"/>
      <c r="AD466" s="1370"/>
      <c r="AE466" s="1370"/>
      <c r="AF466" s="1370"/>
      <c r="AG466" s="1636"/>
      <c r="AH466" s="1636"/>
      <c r="AI466" s="1636"/>
      <c r="AJ466" s="1636"/>
      <c r="AK466" s="1636"/>
      <c r="AL466" s="1639">
        <v>0</v>
      </c>
    </row>
    <row s="1854" customFormat="1" customHeight="1" ht="22.5">
      <c r="A467" s="991"/>
      <c r="B467" s="1370"/>
      <c r="C467" s="1646"/>
      <c r="D467" s="687" t="s">
        <v>104</v>
      </c>
      <c r="E467" s="550" t="str">
        <f>E356&amp;".110"</f>
        <v>16.110</v>
      </c>
      <c r="F467" s="544" t="s">
        <v>843</v>
      </c>
      <c r="G467" s="2370" t="s">
        <v>580</v>
      </c>
      <c r="H467" s="549"/>
      <c r="I467" s="549"/>
      <c r="J467" s="549"/>
      <c r="K467" s="549">
        <v>169.85</v>
      </c>
      <c r="L467" s="549"/>
      <c r="M467" s="549"/>
      <c r="N467" s="549"/>
      <c r="O467" s="549"/>
      <c r="P467" s="1529" t="s">
        <v>581</v>
      </c>
      <c r="Q467" s="738"/>
      <c r="R467" s="1646"/>
      <c r="S467" s="1646"/>
      <c r="T467" s="1370"/>
      <c r="U467" s="1370"/>
      <c r="V467" s="1370"/>
      <c r="W467" s="1370"/>
      <c r="X467" s="1646"/>
      <c r="Y467" s="1370"/>
      <c r="Z467" s="1370"/>
      <c r="AA467" s="740"/>
      <c r="AB467" s="1370"/>
      <c r="AC467" s="1370"/>
      <c r="AD467" s="1370"/>
      <c r="AE467" s="1370"/>
      <c r="AF467" s="1370"/>
      <c r="AG467" s="1636"/>
      <c r="AH467" s="1636"/>
      <c r="AI467" s="1636"/>
      <c r="AJ467" s="1636"/>
      <c r="AK467" s="1636"/>
      <c r="AL467" s="1639">
        <v>0</v>
      </c>
    </row>
    <row s="1854" customFormat="1" customHeight="1" ht="22.5">
      <c r="A468" s="991"/>
      <c r="B468" s="1370"/>
      <c r="C468" s="1646"/>
      <c r="D468" s="687" t="s">
        <v>104</v>
      </c>
      <c r="E468" s="550" t="str">
        <f>E356&amp;".111"</f>
        <v>16.111</v>
      </c>
      <c r="F468" s="544" t="s">
        <v>844</v>
      </c>
      <c r="G468" s="2370" t="s">
        <v>580</v>
      </c>
      <c r="H468" s="549"/>
      <c r="I468" s="549"/>
      <c r="J468" s="549"/>
      <c r="K468" s="549">
        <v>147.23</v>
      </c>
      <c r="L468" s="549"/>
      <c r="M468" s="549"/>
      <c r="N468" s="549"/>
      <c r="O468" s="549"/>
      <c r="P468" s="1529" t="s">
        <v>581</v>
      </c>
      <c r="Q468" s="738"/>
      <c r="R468" s="1646"/>
      <c r="S468" s="1646"/>
      <c r="T468" s="1370"/>
      <c r="U468" s="1370"/>
      <c r="V468" s="1370"/>
      <c r="W468" s="1370"/>
      <c r="X468" s="1646"/>
      <c r="Y468" s="1370"/>
      <c r="Z468" s="1370"/>
      <c r="AA468" s="740"/>
      <c r="AB468" s="1370"/>
      <c r="AC468" s="1370"/>
      <c r="AD468" s="1370"/>
      <c r="AE468" s="1370"/>
      <c r="AF468" s="1370"/>
      <c r="AG468" s="1636"/>
      <c r="AH468" s="1636"/>
      <c r="AI468" s="1636"/>
      <c r="AJ468" s="1636"/>
      <c r="AK468" s="1636"/>
      <c r="AL468" s="1639">
        <v>0</v>
      </c>
    </row>
    <row s="1854" customFormat="1" customHeight="1" ht="22.5">
      <c r="A469" s="991"/>
      <c r="B469" s="1370"/>
      <c r="C469" s="1646"/>
      <c r="D469" s="687" t="s">
        <v>104</v>
      </c>
      <c r="E469" s="550" t="str">
        <f>E356&amp;".112"</f>
        <v>16.112</v>
      </c>
      <c r="F469" s="544" t="s">
        <v>845</v>
      </c>
      <c r="G469" s="2370" t="s">
        <v>580</v>
      </c>
      <c r="H469" s="549"/>
      <c r="I469" s="549"/>
      <c r="J469" s="549"/>
      <c r="K469" s="549">
        <v>146.28</v>
      </c>
      <c r="L469" s="549"/>
      <c r="M469" s="549"/>
      <c r="N469" s="549"/>
      <c r="O469" s="549"/>
      <c r="P469" s="1529" t="s">
        <v>581</v>
      </c>
      <c r="Q469" s="738"/>
      <c r="R469" s="1646"/>
      <c r="S469" s="1646"/>
      <c r="T469" s="1370"/>
      <c r="U469" s="1370"/>
      <c r="V469" s="1370"/>
      <c r="W469" s="1370"/>
      <c r="X469" s="1646"/>
      <c r="Y469" s="1370"/>
      <c r="Z469" s="1370"/>
      <c r="AA469" s="740"/>
      <c r="AB469" s="1370"/>
      <c r="AC469" s="1370"/>
      <c r="AD469" s="1370"/>
      <c r="AE469" s="1370"/>
      <c r="AF469" s="1370"/>
      <c r="AG469" s="1636"/>
      <c r="AH469" s="1636"/>
      <c r="AI469" s="1636"/>
      <c r="AJ469" s="1636"/>
      <c r="AK469" s="1636"/>
      <c r="AL469" s="1639">
        <v>0</v>
      </c>
    </row>
    <row customHeight="1" ht="15">
      <c r="A470" s="2375"/>
      <c r="D470" s="1637"/>
      <c r="E470" s="574"/>
      <c r="F470" s="1172" t="s">
        <v>726</v>
      </c>
      <c r="G470" s="576"/>
      <c r="H470" s="577"/>
      <c r="I470" s="577"/>
      <c r="J470" s="2676"/>
      <c r="K470" s="2677"/>
      <c r="L470" s="2678"/>
      <c r="M470" s="2679"/>
      <c r="N470" s="2680"/>
      <c r="O470" s="2681"/>
      <c r="P470" s="1008" t="s">
        <v>851</v>
      </c>
      <c r="Q470" s="547"/>
      <c r="AL470" s="1635">
        <v>0</v>
      </c>
    </row>
    <row customHeight="1" ht="53.25">
      <c r="A471" s="2375"/>
      <c r="D471" s="1642"/>
      <c r="E471" s="550" t="str">
        <f>FHD_NUM_P_80</f>
        <v>17</v>
      </c>
      <c r="F471" s="188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471" s="1882" t="s">
        <v>852</v>
      </c>
      <c r="H471" s="561"/>
      <c r="I471" s="561">
        <f>I52/I228</f>
        <v>36.6360589593676</v>
      </c>
      <c r="J471" s="561">
        <f>J52/J228</f>
        <v>26.7970335399666</v>
      </c>
      <c r="K471" s="561">
        <f>K52/K228</f>
        <v>29.6922743525552</v>
      </c>
      <c r="L471" s="561">
        <v>0</v>
      </c>
      <c r="M471" s="561">
        <v>0</v>
      </c>
      <c r="N471" s="561">
        <f>N52/N228</f>
        <v>0.0927879782401665</v>
      </c>
      <c r="O471" s="561">
        <v>0</v>
      </c>
      <c r="P471" s="293" t="str">
        <f>FHD_NOTE_P_80</f>
        <v>Регулируемыми организациями указывается информация с по договорам, заключенным в рамках осуществления регулируемой деятельности.</v>
      </c>
      <c r="Q471" s="547"/>
      <c r="AL471" s="1635">
        <v>0</v>
      </c>
    </row>
    <row customHeight="1" ht="54.75">
      <c r="A472" s="2375"/>
      <c r="D472" s="1642"/>
      <c r="E472" s="550" t="str">
        <f>FHD_NUM_P_81</f>
        <v>18</v>
      </c>
      <c r="F472" s="188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472" s="1882" t="s">
        <v>853</v>
      </c>
      <c r="H472" s="561"/>
      <c r="I472" s="561">
        <f>3658406.1/3920893</f>
        <v>0.93305430676124</v>
      </c>
      <c r="J472" s="561">
        <f>26162.72/37986.71</f>
        <v>0.688733507060759</v>
      </c>
      <c r="K472" s="561">
        <f>6623.88/32137.3</f>
        <v>0.206111901124239</v>
      </c>
      <c r="L472" s="561">
        <v>0</v>
      </c>
      <c r="M472" s="561">
        <v>0</v>
      </c>
      <c r="N472" s="561">
        <v>0</v>
      </c>
      <c r="O472" s="561">
        <v>0</v>
      </c>
      <c r="P472" s="293" t="str">
        <f>FHD_NOTE_P_81</f>
        <v>Регулируемыми организациями указывается информация с по договорам, заключенным в рамках осуществления регулируемой деятельности.</v>
      </c>
      <c r="Q472" s="547"/>
      <c r="AL472" s="1635">
        <v>0</v>
      </c>
    </row>
    <row customHeight="1" ht="67.5">
      <c r="A473" s="2375"/>
      <c r="C473" s="1640" t="s">
        <v>728</v>
      </c>
      <c r="D473" s="1642"/>
      <c r="E473" s="550" t="str">
        <f>FHD_NUM_P_82</f>
        <v>19</v>
      </c>
      <c r="F473" s="188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473" s="1882" t="s">
        <v>324</v>
      </c>
      <c r="H473" s="405"/>
      <c r="I473" s="405"/>
      <c r="J473" s="822"/>
      <c r="K473" s="822"/>
      <c r="L473" s="822"/>
      <c r="M473" s="822"/>
      <c r="N473" s="822"/>
      <c r="O473" s="822"/>
      <c r="P473" s="293" t="str">
        <f>FHD_NOTE_P_82</f>
        <v>Указывается ссылка на документ, предварительно загруженный в хранилище файлов ФГИС ЕИАС.</v>
      </c>
      <c r="Q473" s="547"/>
      <c r="AL473" s="1635">
        <v>0</v>
      </c>
    </row>
    <row customHeight="1" ht="28.5">
      <c r="A474" s="2375"/>
      <c r="C474" s="1640" t="s">
        <v>728</v>
      </c>
      <c r="D474" s="1642"/>
      <c r="E474" s="550" t="str">
        <f>FHD_NUM_P_83</f>
        <v>19.1</v>
      </c>
      <c r="F474" s="1528" t="str">
        <f>FHD_P_83</f>
        <v>Информация о показателях физического износа объектов теплоснабжения</v>
      </c>
      <c r="G474" s="1882" t="s">
        <v>324</v>
      </c>
      <c r="H474" s="405"/>
      <c r="I474" s="2935" t="s">
        <v>854</v>
      </c>
      <c r="J474" s="822" t="s">
        <v>854</v>
      </c>
      <c r="K474" s="822" t="s">
        <v>854</v>
      </c>
      <c r="L474" s="822" t="s">
        <v>854</v>
      </c>
      <c r="M474" s="822" t="s">
        <v>854</v>
      </c>
      <c r="N474" s="822" t="s">
        <v>854</v>
      </c>
      <c r="O474" s="822" t="s">
        <v>854</v>
      </c>
      <c r="P474" s="293" t="str">
        <f>FHD_NOTE_P_83</f>
        <v>Указывается ссылка на документ, предварительно загруженный в хранилище файлов ФГИС ЕИАС.</v>
      </c>
      <c r="Q474" s="547"/>
      <c r="AL474" s="1635">
        <v>0</v>
      </c>
    </row>
    <row customHeight="1" ht="43.5">
      <c r="A475" s="2375"/>
      <c r="C475" s="1640" t="s">
        <v>728</v>
      </c>
      <c r="D475" s="1642"/>
      <c r="E475" s="550" t="str">
        <f>FHD_NUM_P_84</f>
        <v>19.2</v>
      </c>
      <c r="F475" s="1528" t="str">
        <f>FHD_P_84</f>
        <v>Информация о показателях энергетической эффективности объектов теплоснабжения</v>
      </c>
      <c r="G475" s="1882" t="s">
        <v>324</v>
      </c>
      <c r="H475" s="405"/>
      <c r="I475" s="2935" t="s">
        <v>855</v>
      </c>
      <c r="J475" s="2935" t="s">
        <v>855</v>
      </c>
      <c r="K475" s="2935" t="s">
        <v>855</v>
      </c>
      <c r="L475" s="2935" t="s">
        <v>855</v>
      </c>
      <c r="M475" s="2935" t="s">
        <v>855</v>
      </c>
      <c r="N475" s="2935" t="s">
        <v>855</v>
      </c>
      <c r="O475" s="2935" t="s">
        <v>855</v>
      </c>
      <c r="P475" s="293" t="str">
        <f>FHD_NOTE_P_84</f>
        <v>Указывается ссылка на документ, предварительно загруженный в хранилище файлов ФГИС ЕИАС.</v>
      </c>
      <c r="Q475" s="547"/>
      <c r="AL475" s="1635">
        <v>0</v>
      </c>
    </row>
    <row customHeight="1" ht="11.549999999999999">
      <c r="D476" s="1642"/>
      <c r="J476" s="1639"/>
      <c r="K476" s="1639"/>
      <c r="L476" s="1639"/>
      <c r="M476" s="1639"/>
      <c r="N476" s="1639"/>
      <c r="O476" s="1639"/>
      <c r="AL476" s="1635">
        <v>11</v>
      </c>
    </row>
    <row customHeight="1" ht="13.5">
      <c r="D477" s="1642"/>
      <c r="E477" s="340"/>
      <c r="F477" s="373"/>
      <c r="G477" s="373"/>
      <c r="H477" s="373"/>
      <c r="I477" s="1651"/>
      <c r="J477" s="1691"/>
      <c r="K477" s="1691"/>
      <c r="L477" s="1691"/>
      <c r="M477" s="1691"/>
      <c r="N477" s="1691"/>
      <c r="O477" s="1691"/>
      <c r="P477" s="585"/>
      <c r="AL477" s="1635">
        <v>13</v>
      </c>
    </row>
    <row s="1645" customFormat="1" customHeight="1" ht="11.549999999999999">
      <c r="A478" s="991"/>
      <c r="B478" s="1640"/>
      <c r="C478" s="1640"/>
      <c r="D478" s="355"/>
      <c r="F478" s="1644"/>
      <c r="G478" s="1635"/>
      <c r="H478" s="1635"/>
      <c r="I478" s="1635"/>
      <c r="J478" s="1639"/>
      <c r="K478" s="1639"/>
      <c r="L478" s="1639"/>
      <c r="M478" s="1639"/>
      <c r="N478" s="1639"/>
      <c r="O478" s="1639"/>
      <c r="Q478" s="1164"/>
      <c r="R478" s="1640"/>
      <c r="S478" s="1640"/>
      <c r="T478" s="1164"/>
      <c r="U478" s="1164"/>
      <c r="V478" s="1164"/>
      <c r="W478" s="1164"/>
      <c r="X478" s="1640"/>
      <c r="Y478" s="1164"/>
      <c r="Z478" s="1164"/>
      <c r="AA478" s="548"/>
      <c r="AB478" s="1164"/>
      <c r="AC478" s="1164"/>
      <c r="AD478" s="1164"/>
      <c r="AE478" s="1164"/>
      <c r="AF478" s="1164"/>
      <c r="AG478" s="1636"/>
      <c r="AH478" s="570"/>
      <c r="AI478" s="570"/>
      <c r="AJ478" s="570"/>
      <c r="AK478" s="570"/>
      <c r="AL478" s="1645">
        <v>11</v>
      </c>
    </row>
    <row s="1645" customFormat="1" customHeight="1" ht="11.549999999999999">
      <c r="A479" s="991"/>
      <c r="B479" s="1640"/>
      <c r="C479" s="1640"/>
      <c r="D479" s="355"/>
      <c r="J479" s="1645"/>
      <c r="K479" s="1645"/>
      <c r="L479" s="1645"/>
      <c r="M479" s="1645"/>
      <c r="N479" s="1645"/>
      <c r="O479" s="1645"/>
      <c r="Q479" s="1164"/>
      <c r="R479" s="1640"/>
      <c r="S479" s="1640"/>
      <c r="T479" s="1164"/>
      <c r="U479" s="1164"/>
      <c r="V479" s="1164"/>
      <c r="W479" s="1164"/>
      <c r="X479" s="1640"/>
      <c r="Y479" s="1164"/>
      <c r="Z479" s="1164"/>
      <c r="AA479" s="548"/>
      <c r="AB479" s="1164"/>
      <c r="AC479" s="1164"/>
      <c r="AD479" s="1164"/>
      <c r="AE479" s="1164"/>
      <c r="AF479" s="1164"/>
      <c r="AG479" s="1636"/>
      <c r="AH479" s="570"/>
      <c r="AI479" s="570"/>
      <c r="AJ479" s="570"/>
      <c r="AK479" s="570"/>
      <c r="AL479" s="1645">
        <v>11</v>
      </c>
    </row>
    <row s="1645" customFormat="1" customHeight="1" ht="11.549999999999999">
      <c r="A480" s="991"/>
      <c r="B480" s="1640"/>
      <c r="C480" s="1640"/>
      <c r="D480" s="355"/>
      <c r="J480" s="1645"/>
      <c r="K480" s="1645"/>
      <c r="L480" s="1645"/>
      <c r="M480" s="1645"/>
      <c r="N480" s="1645"/>
      <c r="O480" s="1645"/>
      <c r="Q480" s="1164"/>
      <c r="R480" s="1640"/>
      <c r="S480" s="1640"/>
      <c r="T480" s="1164"/>
      <c r="U480" s="1164"/>
      <c r="V480" s="1164"/>
      <c r="W480" s="1164"/>
      <c r="X480" s="1640"/>
      <c r="Y480" s="1164"/>
      <c r="Z480" s="1164"/>
      <c r="AA480" s="548"/>
      <c r="AB480" s="1164"/>
      <c r="AC480" s="1164"/>
      <c r="AD480" s="1164"/>
      <c r="AE480" s="1164"/>
      <c r="AF480" s="1164"/>
      <c r="AG480" s="1636"/>
      <c r="AH480" s="570"/>
      <c r="AI480" s="570"/>
      <c r="AJ480" s="570"/>
      <c r="AK480" s="570"/>
      <c r="AL480" s="1645">
        <v>11</v>
      </c>
    </row>
    <row s="1645" customFormat="1" customHeight="1" ht="11.549999999999999">
      <c r="A481" s="991"/>
      <c r="B481" s="1640"/>
      <c r="C481" s="1640"/>
      <c r="D481" s="355"/>
      <c r="H481" s="570" t="str">
        <f>IF(H30-H31&lt;&gt;H85,"WARNING","")</f>
        <v/>
      </c>
      <c r="I481" s="570" t="str">
        <f>IF(I30-I31&lt;&gt;I85,"WARNING","")</f>
        <v>WARNING</v>
      </c>
      <c r="J481" s="626" t="str">
        <f>IF(J30-J31&lt;&gt;J85,"WARNING","")</f>
        <v>WARNING</v>
      </c>
      <c r="K481" s="626" t="str">
        <f>IF(K30-K31&lt;&gt;K85,"WARNING","")</f>
        <v>WARNING</v>
      </c>
      <c r="L481" s="626" t="str">
        <f>IF(L30-L31&lt;&gt;L85,"WARNING","")</f>
        <v/>
      </c>
      <c r="M481" s="626" t="str">
        <f>IF(M30-M31&lt;&gt;M85,"WARNING","")</f>
        <v>WARNING</v>
      </c>
      <c r="N481" s="626" t="str">
        <f>IF(N30-N31&lt;&gt;N85,"WARNING","")</f>
        <v/>
      </c>
      <c r="O481" s="626" t="str">
        <f>IF(O30-O31&lt;&gt;O85,"WARNING","")</f>
        <v>WARNING</v>
      </c>
      <c r="Q481" s="1164"/>
      <c r="R481" s="1640"/>
      <c r="S481" s="1640"/>
      <c r="T481" s="1164"/>
      <c r="U481" s="1164"/>
      <c r="V481" s="1164"/>
      <c r="W481" s="1164"/>
      <c r="X481" s="1640"/>
      <c r="Y481" s="1164"/>
      <c r="Z481" s="1164"/>
      <c r="AA481" s="548"/>
      <c r="AB481" s="1164"/>
      <c r="AC481" s="1164"/>
      <c r="AD481" s="1164"/>
      <c r="AE481" s="1164"/>
      <c r="AF481" s="1164"/>
      <c r="AG481" s="1636"/>
      <c r="AH481" s="570"/>
      <c r="AI481" s="570"/>
      <c r="AJ481" s="570"/>
      <c r="AK481" s="570"/>
      <c r="AL481" s="1645">
        <v>11</v>
      </c>
    </row>
    <row s="1645" customFormat="1" customHeight="1" ht="11.549999999999999">
      <c r="A482" s="991"/>
      <c r="B482" s="1640"/>
      <c r="C482" s="1640"/>
      <c r="D482" s="355"/>
      <c r="J482" s="1645"/>
      <c r="K482" s="1645"/>
      <c r="L482" s="1645"/>
      <c r="M482" s="1645"/>
      <c r="N482" s="1645"/>
      <c r="O482" s="1645"/>
      <c r="Q482" s="1164"/>
      <c r="R482" s="1640"/>
      <c r="S482" s="1640"/>
      <c r="T482" s="1164"/>
      <c r="U482" s="1164"/>
      <c r="V482" s="1164"/>
      <c r="W482" s="1164"/>
      <c r="X482" s="1640"/>
      <c r="Y482" s="1164"/>
      <c r="Z482" s="1164"/>
      <c r="AA482" s="548"/>
      <c r="AB482" s="1164"/>
      <c r="AC482" s="1164"/>
      <c r="AD482" s="1164"/>
      <c r="AE482" s="1164"/>
      <c r="AF482" s="1164"/>
      <c r="AG482" s="1636"/>
      <c r="AH482" s="570"/>
      <c r="AI482" s="570"/>
      <c r="AJ482" s="570"/>
      <c r="AK482" s="570"/>
      <c r="AL482" s="1645">
        <v>11</v>
      </c>
    </row>
    <row s="1645" customFormat="1" customHeight="1" ht="11.549999999999999">
      <c r="A483" s="991"/>
      <c r="B483" s="1640"/>
      <c r="C483" s="1640"/>
      <c r="D483" s="355"/>
      <c r="J483" s="1645"/>
      <c r="K483" s="1645"/>
      <c r="L483" s="1645"/>
      <c r="M483" s="1645"/>
      <c r="N483" s="1645"/>
      <c r="O483" s="1645"/>
      <c r="Q483" s="1164"/>
      <c r="R483" s="1640"/>
      <c r="S483" s="1640"/>
      <c r="T483" s="1164"/>
      <c r="U483" s="1164"/>
      <c r="V483" s="1164"/>
      <c r="W483" s="1164"/>
      <c r="X483" s="1640"/>
      <c r="Y483" s="1164"/>
      <c r="Z483" s="1164"/>
      <c r="AA483" s="548"/>
      <c r="AB483" s="1164"/>
      <c r="AC483" s="1164"/>
      <c r="AD483" s="1164"/>
      <c r="AE483" s="1164"/>
      <c r="AF483" s="1164"/>
      <c r="AG483" s="1636"/>
      <c r="AH483" s="570"/>
      <c r="AI483" s="570"/>
      <c r="AJ483" s="570"/>
      <c r="AK483" s="570"/>
      <c r="AL483" s="1645">
        <v>11</v>
      </c>
    </row>
    <row s="1645" customFormat="1" customHeight="1" ht="11.549999999999999">
      <c r="A484" s="991"/>
      <c r="B484" s="1640"/>
      <c r="C484" s="1640"/>
      <c r="D484" s="355"/>
      <c r="J484" s="1645"/>
      <c r="K484" s="1645"/>
      <c r="L484" s="1645"/>
      <c r="M484" s="1645"/>
      <c r="N484" s="1645"/>
      <c r="O484" s="1645"/>
      <c r="Q484" s="1164"/>
      <c r="R484" s="1640"/>
      <c r="S484" s="1640"/>
      <c r="T484" s="1164"/>
      <c r="U484" s="1164"/>
      <c r="V484" s="1164"/>
      <c r="W484" s="1164"/>
      <c r="X484" s="1640"/>
      <c r="Y484" s="1164"/>
      <c r="Z484" s="1164"/>
      <c r="AA484" s="548"/>
      <c r="AB484" s="1164"/>
      <c r="AC484" s="1164"/>
      <c r="AD484" s="1164"/>
      <c r="AE484" s="1164"/>
      <c r="AF484" s="1164"/>
      <c r="AG484" s="1636"/>
      <c r="AH484" s="570"/>
      <c r="AI484" s="570"/>
      <c r="AJ484" s="570"/>
      <c r="AK484" s="570"/>
      <c r="AL484" s="1645">
        <v>11</v>
      </c>
    </row>
    <row s="1645" customFormat="1" customHeight="1" ht="11.549999999999999">
      <c r="A485" s="991"/>
      <c r="B485" s="1640"/>
      <c r="C485" s="1640"/>
      <c r="D485" s="355"/>
      <c r="J485" s="1645"/>
      <c r="K485" s="1645"/>
      <c r="L485" s="1645"/>
      <c r="M485" s="1645"/>
      <c r="N485" s="1645"/>
      <c r="O485" s="1645"/>
      <c r="Q485" s="1164"/>
      <c r="R485" s="1640"/>
      <c r="S485" s="1640"/>
      <c r="T485" s="1164"/>
      <c r="U485" s="1164"/>
      <c r="V485" s="1164"/>
      <c r="W485" s="1164"/>
      <c r="X485" s="1640"/>
      <c r="Y485" s="1164"/>
      <c r="Z485" s="1164"/>
      <c r="AA485" s="548"/>
      <c r="AB485" s="1164"/>
      <c r="AC485" s="1164"/>
      <c r="AD485" s="1164"/>
      <c r="AE485" s="1164"/>
      <c r="AF485" s="1164"/>
      <c r="AG485" s="1636"/>
      <c r="AH485" s="570"/>
      <c r="AI485" s="570"/>
      <c r="AJ485" s="570"/>
      <c r="AK485" s="570"/>
      <c r="AL485" s="1645">
        <v>11</v>
      </c>
    </row>
    <row s="1645" customFormat="1" customHeight="1" ht="11.549999999999999">
      <c r="A486" s="991"/>
      <c r="B486" s="1640"/>
      <c r="C486" s="1640"/>
      <c r="D486" s="355"/>
      <c r="J486" s="1645"/>
      <c r="K486" s="1645"/>
      <c r="L486" s="1645"/>
      <c r="M486" s="1645"/>
      <c r="N486" s="1645"/>
      <c r="O486" s="1645"/>
      <c r="Q486" s="1164"/>
      <c r="R486" s="1640"/>
      <c r="S486" s="1640"/>
      <c r="T486" s="1164"/>
      <c r="U486" s="1164"/>
      <c r="V486" s="1164"/>
      <c r="W486" s="1164"/>
      <c r="X486" s="1640"/>
      <c r="Y486" s="1164"/>
      <c r="Z486" s="1164"/>
      <c r="AA486" s="548"/>
      <c r="AB486" s="1164"/>
      <c r="AC486" s="1164"/>
      <c r="AD486" s="1164"/>
      <c r="AE486" s="1164"/>
      <c r="AF486" s="1164"/>
      <c r="AG486" s="1636"/>
      <c r="AH486" s="570"/>
      <c r="AI486" s="570"/>
      <c r="AJ486" s="570"/>
      <c r="AK486" s="570"/>
      <c r="AL486" s="1645">
        <v>11</v>
      </c>
    </row>
    <row s="1645" customFormat="1" customHeight="1" ht="11.549999999999999">
      <c r="A487" s="991"/>
      <c r="B487" s="1640"/>
      <c r="C487" s="1640"/>
      <c r="D487" s="355"/>
      <c r="J487" s="1645"/>
      <c r="K487" s="1645"/>
      <c r="L487" s="1645"/>
      <c r="M487" s="1645"/>
      <c r="N487" s="1645"/>
      <c r="O487" s="1645"/>
      <c r="Q487" s="1164"/>
      <c r="R487" s="1640"/>
      <c r="S487" s="1640"/>
      <c r="T487" s="1164"/>
      <c r="U487" s="1164"/>
      <c r="V487" s="1164"/>
      <c r="W487" s="1164"/>
      <c r="X487" s="1640"/>
      <c r="Y487" s="1164"/>
      <c r="Z487" s="1164"/>
      <c r="AA487" s="548"/>
      <c r="AB487" s="1164"/>
      <c r="AC487" s="1164"/>
      <c r="AD487" s="1164"/>
      <c r="AE487" s="1164"/>
      <c r="AF487" s="1164"/>
      <c r="AG487" s="1636"/>
      <c r="AH487" s="570"/>
      <c r="AI487" s="570"/>
      <c r="AJ487" s="570"/>
      <c r="AK487" s="570"/>
      <c r="AL487" s="1645">
        <v>11</v>
      </c>
    </row>
    <row s="1645" customFormat="1" customHeight="1" ht="11.549999999999999">
      <c r="A488" s="991"/>
      <c r="B488" s="1640"/>
      <c r="C488" s="1640"/>
      <c r="D488" s="355"/>
      <c r="J488" s="1645"/>
      <c r="K488" s="1645"/>
      <c r="L488" s="1645"/>
      <c r="M488" s="1645"/>
      <c r="N488" s="1645"/>
      <c r="O488" s="1645"/>
      <c r="Q488" s="1164"/>
      <c r="R488" s="1640"/>
      <c r="S488" s="1640"/>
      <c r="T488" s="1164"/>
      <c r="U488" s="1164"/>
      <c r="V488" s="1164"/>
      <c r="W488" s="1164"/>
      <c r="X488" s="1640"/>
      <c r="Y488" s="1164"/>
      <c r="Z488" s="1164"/>
      <c r="AA488" s="548"/>
      <c r="AB488" s="1164"/>
      <c r="AC488" s="1164"/>
      <c r="AD488" s="1164"/>
      <c r="AE488" s="1164"/>
      <c r="AF488" s="1164"/>
      <c r="AG488" s="1636"/>
      <c r="AH488" s="570"/>
      <c r="AI488" s="570"/>
      <c r="AJ488" s="570"/>
      <c r="AK488" s="570"/>
      <c r="AL488" s="1645">
        <v>11</v>
      </c>
    </row>
    <row s="1645" customFormat="1" customHeight="1" ht="11.549999999999999">
      <c r="A489" s="991"/>
      <c r="B489" s="1640"/>
      <c r="C489" s="1640"/>
      <c r="D489" s="355"/>
      <c r="J489" s="1645"/>
      <c r="K489" s="1645"/>
      <c r="L489" s="1645"/>
      <c r="M489" s="1645"/>
      <c r="N489" s="1645"/>
      <c r="O489" s="1645"/>
      <c r="Q489" s="1164"/>
      <c r="R489" s="1640"/>
      <c r="S489" s="1640"/>
      <c r="T489" s="1164"/>
      <c r="U489" s="1164"/>
      <c r="V489" s="1164"/>
      <c r="W489" s="1164"/>
      <c r="X489" s="1640"/>
      <c r="Y489" s="1164"/>
      <c r="Z489" s="1164"/>
      <c r="AA489" s="548"/>
      <c r="AB489" s="1164"/>
      <c r="AC489" s="1164"/>
      <c r="AD489" s="1164"/>
      <c r="AE489" s="1164"/>
      <c r="AF489" s="1164"/>
      <c r="AG489" s="1636"/>
      <c r="AH489" s="570"/>
      <c r="AI489" s="570"/>
      <c r="AJ489" s="570"/>
      <c r="AK489" s="570"/>
      <c r="AL489" s="1645">
        <v>11</v>
      </c>
    </row>
    <row s="1645" customFormat="1" customHeight="1" ht="11.549999999999999">
      <c r="A490" s="991"/>
      <c r="B490" s="1640"/>
      <c r="C490" s="1640"/>
      <c r="D490" s="355"/>
      <c r="J490" s="1645"/>
      <c r="K490" s="1645"/>
      <c r="L490" s="1645"/>
      <c r="M490" s="1645"/>
      <c r="N490" s="1645"/>
      <c r="O490" s="1645"/>
      <c r="Q490" s="1164"/>
      <c r="R490" s="1640"/>
      <c r="S490" s="1640"/>
      <c r="T490" s="1164"/>
      <c r="U490" s="1164"/>
      <c r="V490" s="1164"/>
      <c r="W490" s="1164"/>
      <c r="X490" s="1640"/>
      <c r="Y490" s="1164"/>
      <c r="Z490" s="1164"/>
      <c r="AA490" s="548"/>
      <c r="AB490" s="1164"/>
      <c r="AC490" s="1164"/>
      <c r="AD490" s="1164"/>
      <c r="AE490" s="1164"/>
      <c r="AF490" s="1164"/>
      <c r="AG490" s="1636"/>
      <c r="AH490" s="570"/>
      <c r="AI490" s="570"/>
      <c r="AJ490" s="570"/>
      <c r="AK490" s="570"/>
      <c r="AL490" s="1645">
        <v>11</v>
      </c>
    </row>
    <row s="1645" customFormat="1" customHeight="1" ht="11.549999999999999">
      <c r="A491" s="991"/>
      <c r="B491" s="1640"/>
      <c r="C491" s="1640"/>
      <c r="D491" s="355"/>
      <c r="J491" s="1645"/>
      <c r="K491" s="1645"/>
      <c r="L491" s="1645"/>
      <c r="M491" s="1645"/>
      <c r="N491" s="1645"/>
      <c r="O491" s="1645"/>
      <c r="Q491" s="1164"/>
      <c r="R491" s="1640"/>
      <c r="S491" s="1640"/>
      <c r="T491" s="1164"/>
      <c r="U491" s="1164"/>
      <c r="V491" s="1164"/>
      <c r="W491" s="1164"/>
      <c r="X491" s="1640"/>
      <c r="Y491" s="1164"/>
      <c r="Z491" s="1164"/>
      <c r="AA491" s="548"/>
      <c r="AB491" s="1164"/>
      <c r="AC491" s="1164"/>
      <c r="AD491" s="1164"/>
      <c r="AE491" s="1164"/>
      <c r="AF491" s="1164"/>
      <c r="AG491" s="1636"/>
      <c r="AH491" s="570"/>
      <c r="AI491" s="570"/>
      <c r="AJ491" s="570"/>
      <c r="AK491" s="570"/>
      <c r="AL491" s="1645">
        <v>11</v>
      </c>
    </row>
    <row s="1645" customFormat="1" customHeight="1" ht="11.549999999999999">
      <c r="A492" s="991"/>
      <c r="B492" s="1640"/>
      <c r="C492" s="1640"/>
      <c r="D492" s="355"/>
      <c r="J492" s="1645"/>
      <c r="K492" s="1645"/>
      <c r="L492" s="1645"/>
      <c r="M492" s="1645"/>
      <c r="N492" s="1645"/>
      <c r="O492" s="1645"/>
      <c r="Q492" s="1164"/>
      <c r="R492" s="1640"/>
      <c r="S492" s="1640"/>
      <c r="T492" s="1164"/>
      <c r="U492" s="1164"/>
      <c r="V492" s="1164"/>
      <c r="W492" s="1164"/>
      <c r="X492" s="1640"/>
      <c r="Y492" s="1164"/>
      <c r="Z492" s="1164"/>
      <c r="AA492" s="548"/>
      <c r="AB492" s="1164"/>
      <c r="AC492" s="1164"/>
      <c r="AD492" s="1164"/>
      <c r="AE492" s="1164"/>
      <c r="AF492" s="1164"/>
      <c r="AG492" s="1636"/>
      <c r="AH492" s="570"/>
      <c r="AI492" s="570"/>
      <c r="AJ492" s="570"/>
      <c r="AK492" s="570"/>
      <c r="AL492" s="1645">
        <v>11</v>
      </c>
    </row>
    <row s="1645" customFormat="1" customHeight="1" ht="11.549999999999999">
      <c r="A493" s="991"/>
      <c r="B493" s="1640"/>
      <c r="C493" s="1640"/>
      <c r="D493" s="355"/>
      <c r="J493" s="1645"/>
      <c r="K493" s="1645"/>
      <c r="L493" s="1645"/>
      <c r="M493" s="1645"/>
      <c r="N493" s="1645"/>
      <c r="O493" s="1645"/>
      <c r="Q493" s="1164"/>
      <c r="R493" s="1640"/>
      <c r="S493" s="1640"/>
      <c r="T493" s="1164"/>
      <c r="U493" s="1164"/>
      <c r="V493" s="1164"/>
      <c r="W493" s="1164"/>
      <c r="X493" s="1640"/>
      <c r="Y493" s="1164"/>
      <c r="Z493" s="1164"/>
      <c r="AA493" s="548"/>
      <c r="AB493" s="1164"/>
      <c r="AC493" s="1164"/>
      <c r="AD493" s="1164"/>
      <c r="AE493" s="1164"/>
      <c r="AF493" s="1164"/>
      <c r="AG493" s="1636"/>
      <c r="AH493" s="570"/>
      <c r="AI493" s="570"/>
      <c r="AJ493" s="570"/>
      <c r="AK493" s="570"/>
      <c r="AL493" s="1645">
        <v>11</v>
      </c>
    </row>
    <row s="1645" customFormat="1" customHeight="1" ht="11.549999999999999">
      <c r="A494" s="991"/>
      <c r="B494" s="1640"/>
      <c r="C494" s="1640"/>
      <c r="D494" s="355"/>
      <c r="J494" s="1645"/>
      <c r="K494" s="1645"/>
      <c r="L494" s="1645"/>
      <c r="M494" s="1645"/>
      <c r="N494" s="1645"/>
      <c r="O494" s="1645"/>
      <c r="Q494" s="1164"/>
      <c r="R494" s="1640"/>
      <c r="S494" s="1640"/>
      <c r="T494" s="1164"/>
      <c r="U494" s="1164"/>
      <c r="V494" s="1164"/>
      <c r="W494" s="1164"/>
      <c r="X494" s="1640"/>
      <c r="Y494" s="1164"/>
      <c r="Z494" s="1164"/>
      <c r="AA494" s="548"/>
      <c r="AB494" s="1164"/>
      <c r="AC494" s="1164"/>
      <c r="AD494" s="1164"/>
      <c r="AE494" s="1164"/>
      <c r="AF494" s="1164"/>
      <c r="AG494" s="1636"/>
      <c r="AH494" s="570"/>
      <c r="AI494" s="570"/>
      <c r="AJ494" s="570"/>
      <c r="AK494" s="570"/>
      <c r="AL494" s="1645">
        <v>11</v>
      </c>
    </row>
    <row s="1645" customFormat="1" customHeight="1" ht="11.549999999999999">
      <c r="A495" s="991"/>
      <c r="B495" s="1640"/>
      <c r="C495" s="1640"/>
      <c r="D495" s="355"/>
      <c r="J495" s="1645"/>
      <c r="K495" s="1645"/>
      <c r="L495" s="1645"/>
      <c r="M495" s="1645"/>
      <c r="N495" s="1645"/>
      <c r="O495" s="1645"/>
      <c r="Q495" s="1164"/>
      <c r="R495" s="1640"/>
      <c r="S495" s="1640"/>
      <c r="T495" s="1164"/>
      <c r="U495" s="1164"/>
      <c r="V495" s="1164"/>
      <c r="W495" s="1164"/>
      <c r="X495" s="1640"/>
      <c r="Y495" s="1164"/>
      <c r="Z495" s="1164"/>
      <c r="AA495" s="548"/>
      <c r="AB495" s="1164"/>
      <c r="AC495" s="1164"/>
      <c r="AD495" s="1164"/>
      <c r="AE495" s="1164"/>
      <c r="AF495" s="1164"/>
      <c r="AG495" s="1636"/>
      <c r="AH495" s="570"/>
      <c r="AI495" s="570"/>
      <c r="AJ495" s="570"/>
      <c r="AK495" s="570"/>
      <c r="AL495" s="1645">
        <v>11</v>
      </c>
    </row>
    <row s="1645" customFormat="1" customHeight="1" ht="11.549999999999999">
      <c r="A496" s="991"/>
      <c r="B496" s="1640"/>
      <c r="C496" s="1640"/>
      <c r="D496" s="355"/>
      <c r="J496" s="1645"/>
      <c r="K496" s="1645"/>
      <c r="L496" s="1645"/>
      <c r="M496" s="1645"/>
      <c r="N496" s="1645"/>
      <c r="O496" s="1645"/>
      <c r="Q496" s="1164"/>
      <c r="R496" s="1640"/>
      <c r="S496" s="1640"/>
      <c r="T496" s="1164"/>
      <c r="U496" s="1164"/>
      <c r="V496" s="1164"/>
      <c r="W496" s="1164"/>
      <c r="X496" s="1640"/>
      <c r="Y496" s="1164"/>
      <c r="Z496" s="1164"/>
      <c r="AA496" s="548"/>
      <c r="AB496" s="1164"/>
      <c r="AC496" s="1164"/>
      <c r="AD496" s="1164"/>
      <c r="AE496" s="1164"/>
      <c r="AF496" s="1164"/>
      <c r="AG496" s="1636"/>
      <c r="AH496" s="570"/>
      <c r="AI496" s="570"/>
      <c r="AJ496" s="570"/>
      <c r="AK496" s="570"/>
      <c r="AL496" s="1645">
        <v>11</v>
      </c>
    </row>
    <row s="1645" customFormat="1" customHeight="1" ht="11.549999999999999">
      <c r="A497" s="991"/>
      <c r="B497" s="1640"/>
      <c r="C497" s="1640"/>
      <c r="D497" s="355"/>
      <c r="J497" s="1645"/>
      <c r="K497" s="1645"/>
      <c r="L497" s="1645"/>
      <c r="M497" s="1645"/>
      <c r="N497" s="1645"/>
      <c r="O497" s="1645"/>
      <c r="Q497" s="1164"/>
      <c r="R497" s="1640"/>
      <c r="S497" s="1640"/>
      <c r="T497" s="1164"/>
      <c r="U497" s="1164"/>
      <c r="V497" s="1164"/>
      <c r="W497" s="1164"/>
      <c r="X497" s="1640"/>
      <c r="Y497" s="1164"/>
      <c r="Z497" s="1164"/>
      <c r="AA497" s="548"/>
      <c r="AB497" s="1164"/>
      <c r="AC497" s="1164"/>
      <c r="AD497" s="1164"/>
      <c r="AE497" s="1164"/>
      <c r="AF497" s="1164"/>
      <c r="AG497" s="1636"/>
      <c r="AH497" s="570"/>
      <c r="AI497" s="570"/>
      <c r="AJ497" s="570"/>
      <c r="AK497" s="570"/>
      <c r="AL497" s="1645">
        <v>11</v>
      </c>
    </row>
    <row s="1645" customFormat="1" customHeight="1" ht="11.549999999999999">
      <c r="A498" s="991"/>
      <c r="B498" s="1640"/>
      <c r="C498" s="1640"/>
      <c r="D498" s="355"/>
      <c r="J498" s="1645"/>
      <c r="K498" s="1645"/>
      <c r="L498" s="1645"/>
      <c r="M498" s="1645"/>
      <c r="N498" s="1645"/>
      <c r="O498" s="1645"/>
      <c r="Q498" s="1164"/>
      <c r="R498" s="1640"/>
      <c r="S498" s="1640"/>
      <c r="T498" s="1164"/>
      <c r="U498" s="1164"/>
      <c r="V498" s="1164"/>
      <c r="W498" s="1164"/>
      <c r="X498" s="1640"/>
      <c r="Y498" s="1164"/>
      <c r="Z498" s="1164"/>
      <c r="AA498" s="548"/>
      <c r="AB498" s="1164"/>
      <c r="AC498" s="1164"/>
      <c r="AD498" s="1164"/>
      <c r="AE498" s="1164"/>
      <c r="AF498" s="1164"/>
      <c r="AG498" s="1636"/>
      <c r="AH498" s="570"/>
      <c r="AI498" s="570"/>
      <c r="AJ498" s="570"/>
      <c r="AK498" s="570"/>
      <c r="AL498" s="1645">
        <v>11</v>
      </c>
    </row>
    <row s="1645" customFormat="1" customHeight="1" ht="11.549999999999999">
      <c r="A499" s="991"/>
      <c r="B499" s="1640"/>
      <c r="C499" s="1640"/>
      <c r="D499" s="355"/>
      <c r="J499" s="1645"/>
      <c r="K499" s="1645"/>
      <c r="L499" s="1645"/>
      <c r="M499" s="1645"/>
      <c r="N499" s="1645"/>
      <c r="O499" s="1645"/>
      <c r="Q499" s="1164"/>
      <c r="R499" s="1640"/>
      <c r="S499" s="1640"/>
      <c r="T499" s="1164"/>
      <c r="U499" s="1164"/>
      <c r="V499" s="1164"/>
      <c r="W499" s="1164"/>
      <c r="X499" s="1640"/>
      <c r="Y499" s="1164"/>
      <c r="Z499" s="1164"/>
      <c r="AA499" s="548"/>
      <c r="AB499" s="1164"/>
      <c r="AC499" s="1164"/>
      <c r="AD499" s="1164"/>
      <c r="AE499" s="1164"/>
      <c r="AF499" s="1164"/>
      <c r="AG499" s="1636"/>
      <c r="AH499" s="570"/>
      <c r="AI499" s="570"/>
      <c r="AJ499" s="570"/>
      <c r="AK499" s="570"/>
      <c r="AL499" s="1645">
        <v>11</v>
      </c>
    </row>
    <row s="1645" customFormat="1" customHeight="1" ht="11.549999999999999">
      <c r="A500" s="991"/>
      <c r="B500" s="1640"/>
      <c r="C500" s="1640"/>
      <c r="D500" s="355"/>
      <c r="J500" s="1645"/>
      <c r="K500" s="1645"/>
      <c r="L500" s="1645"/>
      <c r="M500" s="1645"/>
      <c r="N500" s="1645"/>
      <c r="O500" s="1645"/>
      <c r="Q500" s="1164"/>
      <c r="R500" s="1640"/>
      <c r="S500" s="1640"/>
      <c r="T500" s="1164"/>
      <c r="U500" s="1164"/>
      <c r="V500" s="1164"/>
      <c r="W500" s="1164"/>
      <c r="X500" s="1640"/>
      <c r="Y500" s="1164"/>
      <c r="Z500" s="1164"/>
      <c r="AA500" s="548"/>
      <c r="AB500" s="1164"/>
      <c r="AC500" s="1164"/>
      <c r="AD500" s="1164"/>
      <c r="AE500" s="1164"/>
      <c r="AF500" s="1164"/>
      <c r="AG500" s="1636"/>
      <c r="AH500" s="570"/>
      <c r="AI500" s="570"/>
      <c r="AJ500" s="570"/>
      <c r="AK500" s="570"/>
      <c r="AL500" s="1645">
        <v>11</v>
      </c>
    </row>
    <row s="1645" customFormat="1" customHeight="1" ht="11.549999999999999">
      <c r="A501" s="991"/>
      <c r="B501" s="1640"/>
      <c r="C501" s="1640"/>
      <c r="D501" s="355"/>
      <c r="J501" s="1645"/>
      <c r="K501" s="1645"/>
      <c r="L501" s="1645"/>
      <c r="M501" s="1645"/>
      <c r="N501" s="1645"/>
      <c r="O501" s="1645"/>
      <c r="Q501" s="1164"/>
      <c r="R501" s="1640"/>
      <c r="S501" s="1640"/>
      <c r="T501" s="1164"/>
      <c r="U501" s="1164"/>
      <c r="V501" s="1164"/>
      <c r="W501" s="1164"/>
      <c r="X501" s="1640"/>
      <c r="Y501" s="1164"/>
      <c r="Z501" s="1164"/>
      <c r="AA501" s="548"/>
      <c r="AB501" s="1164"/>
      <c r="AC501" s="1164"/>
      <c r="AD501" s="1164"/>
      <c r="AE501" s="1164"/>
      <c r="AF501" s="1164"/>
      <c r="AG501" s="1636"/>
      <c r="AH501" s="570"/>
      <c r="AI501" s="570"/>
      <c r="AJ501" s="570"/>
      <c r="AK501" s="570"/>
      <c r="AL501" s="1645">
        <v>11</v>
      </c>
    </row>
    <row s="1645" customFormat="1" customHeight="1" ht="11.549999999999999">
      <c r="A502" s="991"/>
      <c r="B502" s="1640"/>
      <c r="C502" s="1640"/>
      <c r="D502" s="355"/>
      <c r="J502" s="1645"/>
      <c r="K502" s="1645"/>
      <c r="L502" s="1645"/>
      <c r="M502" s="1645"/>
      <c r="N502" s="1645"/>
      <c r="O502" s="1645"/>
      <c r="Q502" s="1164"/>
      <c r="R502" s="1640"/>
      <c r="S502" s="1640"/>
      <c r="T502" s="1164"/>
      <c r="U502" s="1164"/>
      <c r="V502" s="1164"/>
      <c r="W502" s="1164"/>
      <c r="X502" s="1640"/>
      <c r="Y502" s="1164"/>
      <c r="Z502" s="1164"/>
      <c r="AA502" s="548"/>
      <c r="AB502" s="1164"/>
      <c r="AC502" s="1164"/>
      <c r="AD502" s="1164"/>
      <c r="AE502" s="1164"/>
      <c r="AF502" s="1164"/>
      <c r="AG502" s="1636"/>
      <c r="AH502" s="570"/>
      <c r="AI502" s="570"/>
      <c r="AJ502" s="570"/>
      <c r="AK502" s="570"/>
      <c r="AL502" s="1645">
        <v>11</v>
      </c>
    </row>
    <row s="1645" customFormat="1" customHeight="1" ht="11.549999999999999">
      <c r="A503" s="991"/>
      <c r="B503" s="1640"/>
      <c r="C503" s="1640"/>
      <c r="D503" s="355"/>
      <c r="J503" s="1645"/>
      <c r="K503" s="1645"/>
      <c r="L503" s="1645"/>
      <c r="M503" s="1645"/>
      <c r="N503" s="1645"/>
      <c r="O503" s="1645"/>
      <c r="Q503" s="1164"/>
      <c r="R503" s="1640"/>
      <c r="S503" s="1640"/>
      <c r="T503" s="1164"/>
      <c r="U503" s="1164"/>
      <c r="V503" s="1164"/>
      <c r="W503" s="1164"/>
      <c r="X503" s="1640"/>
      <c r="Y503" s="1164"/>
      <c r="Z503" s="1164"/>
      <c r="AA503" s="548"/>
      <c r="AB503" s="1164"/>
      <c r="AC503" s="1164"/>
      <c r="AD503" s="1164"/>
      <c r="AE503" s="1164"/>
      <c r="AF503" s="1164"/>
      <c r="AG503" s="1636"/>
      <c r="AH503" s="570"/>
      <c r="AI503" s="570"/>
      <c r="AJ503" s="570"/>
      <c r="AK503" s="570"/>
      <c r="AL503" s="1645">
        <v>11</v>
      </c>
    </row>
    <row s="1645" customFormat="1" customHeight="1" ht="11.549999999999999">
      <c r="A504" s="991"/>
      <c r="B504" s="1640"/>
      <c r="C504" s="1640"/>
      <c r="D504" s="355"/>
      <c r="J504" s="1645"/>
      <c r="K504" s="1645"/>
      <c r="L504" s="1645"/>
      <c r="M504" s="1645"/>
      <c r="N504" s="1645"/>
      <c r="O504" s="1645"/>
      <c r="Q504" s="1164"/>
      <c r="R504" s="1640"/>
      <c r="S504" s="1640"/>
      <c r="T504" s="1164"/>
      <c r="U504" s="1164"/>
      <c r="V504" s="1164"/>
      <c r="W504" s="1164"/>
      <c r="X504" s="1640"/>
      <c r="Y504" s="1164"/>
      <c r="Z504" s="1164"/>
      <c r="AA504" s="548"/>
      <c r="AB504" s="1164"/>
      <c r="AC504" s="1164"/>
      <c r="AD504" s="1164"/>
      <c r="AE504" s="1164"/>
      <c r="AF504" s="1164"/>
      <c r="AG504" s="1636"/>
      <c r="AH504" s="570"/>
      <c r="AI504" s="570"/>
      <c r="AJ504" s="570"/>
      <c r="AK504" s="570"/>
      <c r="AL504" s="1645">
        <v>11</v>
      </c>
    </row>
    <row s="1645" customFormat="1" customHeight="1" ht="11.549999999999999">
      <c r="A505" s="991"/>
      <c r="B505" s="1640"/>
      <c r="C505" s="1640"/>
      <c r="D505" s="355"/>
      <c r="J505" s="1645"/>
      <c r="K505" s="1645"/>
      <c r="L505" s="1645"/>
      <c r="M505" s="1645"/>
      <c r="N505" s="1645"/>
      <c r="O505" s="1645"/>
      <c r="Q505" s="1164"/>
      <c r="R505" s="1640"/>
      <c r="S505" s="1640"/>
      <c r="T505" s="1164"/>
      <c r="U505" s="1164"/>
      <c r="V505" s="1164"/>
      <c r="W505" s="1164"/>
      <c r="X505" s="1640"/>
      <c r="Y505" s="1164"/>
      <c r="Z505" s="1164"/>
      <c r="AA505" s="548"/>
      <c r="AB505" s="1164"/>
      <c r="AC505" s="1164"/>
      <c r="AD505" s="1164"/>
      <c r="AE505" s="1164"/>
      <c r="AF505" s="1164"/>
      <c r="AG505" s="1636"/>
      <c r="AH505" s="570"/>
      <c r="AI505" s="570"/>
      <c r="AJ505" s="570"/>
      <c r="AK505" s="570"/>
      <c r="AL505" s="1645">
        <v>11</v>
      </c>
    </row>
    <row s="1645" customFormat="1" customHeight="1" ht="11.549999999999999">
      <c r="A506" s="991"/>
      <c r="B506" s="1640"/>
      <c r="C506" s="1640"/>
      <c r="D506" s="355"/>
      <c r="J506" s="1645"/>
      <c r="K506" s="1645"/>
      <c r="L506" s="1645"/>
      <c r="M506" s="1645"/>
      <c r="N506" s="1645"/>
      <c r="O506" s="1645"/>
      <c r="Q506" s="1164"/>
      <c r="R506" s="1640"/>
      <c r="S506" s="1640"/>
      <c r="T506" s="1164"/>
      <c r="U506" s="1164"/>
      <c r="V506" s="1164"/>
      <c r="W506" s="1164"/>
      <c r="X506" s="1640"/>
      <c r="Y506" s="1164"/>
      <c r="Z506" s="1164"/>
      <c r="AA506" s="548"/>
      <c r="AB506" s="1164"/>
      <c r="AC506" s="1164"/>
      <c r="AD506" s="1164"/>
      <c r="AE506" s="1164"/>
      <c r="AF506" s="1164"/>
      <c r="AG506" s="1636"/>
      <c r="AH506" s="570"/>
      <c r="AI506" s="570"/>
      <c r="AJ506" s="570"/>
      <c r="AK506" s="570"/>
      <c r="AL506" s="1645">
        <v>11</v>
      </c>
    </row>
    <row s="1645" customFormat="1" customHeight="1" ht="11.549999999999999">
      <c r="A507" s="991"/>
      <c r="B507" s="1640"/>
      <c r="C507" s="1640"/>
      <c r="D507" s="355"/>
      <c r="J507" s="1645"/>
      <c r="K507" s="1645"/>
      <c r="L507" s="1645"/>
      <c r="M507" s="1645"/>
      <c r="N507" s="1645"/>
      <c r="O507" s="1645"/>
      <c r="Q507" s="1164"/>
      <c r="R507" s="1640"/>
      <c r="S507" s="1640"/>
      <c r="T507" s="1164"/>
      <c r="U507" s="1164"/>
      <c r="V507" s="1164"/>
      <c r="W507" s="1164"/>
      <c r="X507" s="1640"/>
      <c r="Y507" s="1164"/>
      <c r="Z507" s="1164"/>
      <c r="AA507" s="548"/>
      <c r="AB507" s="1164"/>
      <c r="AC507" s="1164"/>
      <c r="AD507" s="1164"/>
      <c r="AE507" s="1164"/>
      <c r="AF507" s="1164"/>
      <c r="AG507" s="1636"/>
      <c r="AH507" s="570"/>
      <c r="AI507" s="570"/>
      <c r="AJ507" s="570"/>
      <c r="AK507" s="570"/>
      <c r="AL507" s="1645">
        <v>11</v>
      </c>
    </row>
    <row s="1645" customFormat="1" customHeight="1" ht="11.549999999999999">
      <c r="A508" s="991"/>
      <c r="B508" s="1640"/>
      <c r="C508" s="1640"/>
      <c r="D508" s="355"/>
      <c r="J508" s="1645"/>
      <c r="K508" s="1645"/>
      <c r="L508" s="1645"/>
      <c r="M508" s="1645"/>
      <c r="N508" s="1645"/>
      <c r="O508" s="1645"/>
      <c r="Q508" s="1164"/>
      <c r="R508" s="1640"/>
      <c r="S508" s="1640"/>
      <c r="T508" s="1164"/>
      <c r="U508" s="1164"/>
      <c r="V508" s="1164"/>
      <c r="W508" s="1164"/>
      <c r="X508" s="1640"/>
      <c r="Y508" s="1164"/>
      <c r="Z508" s="1164"/>
      <c r="AA508" s="548"/>
      <c r="AB508" s="1164"/>
      <c r="AC508" s="1164"/>
      <c r="AD508" s="1164"/>
      <c r="AE508" s="1164"/>
      <c r="AF508" s="1164"/>
      <c r="AG508" s="1636"/>
      <c r="AH508" s="570"/>
      <c r="AI508" s="570"/>
      <c r="AJ508" s="570"/>
      <c r="AK508" s="570"/>
      <c r="AL508" s="1645">
        <v>11</v>
      </c>
    </row>
    <row s="1645" customFormat="1" customHeight="1" ht="11.549999999999999">
      <c r="A509" s="991"/>
      <c r="B509" s="1640"/>
      <c r="C509" s="1640"/>
      <c r="D509" s="355"/>
      <c r="J509" s="1645"/>
      <c r="K509" s="1645"/>
      <c r="L509" s="1645"/>
      <c r="M509" s="1645"/>
      <c r="N509" s="1645"/>
      <c r="O509" s="1645"/>
      <c r="Q509" s="1164"/>
      <c r="R509" s="1640"/>
      <c r="S509" s="1640"/>
      <c r="T509" s="1164"/>
      <c r="U509" s="1164"/>
      <c r="V509" s="1164"/>
      <c r="W509" s="1164"/>
      <c r="X509" s="1640"/>
      <c r="Y509" s="1164"/>
      <c r="Z509" s="1164"/>
      <c r="AA509" s="548"/>
      <c r="AB509" s="1164"/>
      <c r="AC509" s="1164"/>
      <c r="AD509" s="1164"/>
      <c r="AE509" s="1164"/>
      <c r="AF509" s="1164"/>
      <c r="AG509" s="1636"/>
      <c r="AH509" s="570"/>
      <c r="AI509" s="570"/>
      <c r="AJ509" s="570"/>
      <c r="AK509" s="570"/>
      <c r="AL509" s="1645">
        <v>11</v>
      </c>
    </row>
    <row s="1645" customFormat="1" customHeight="1" ht="11.549999999999999">
      <c r="A510" s="991"/>
      <c r="B510" s="1640"/>
      <c r="C510" s="1640"/>
      <c r="D510" s="355"/>
      <c r="J510" s="1645"/>
      <c r="K510" s="1645"/>
      <c r="L510" s="1645"/>
      <c r="M510" s="1645"/>
      <c r="N510" s="1645"/>
      <c r="O510" s="1645"/>
      <c r="Q510" s="1164"/>
      <c r="R510" s="1640"/>
      <c r="S510" s="1640"/>
      <c r="T510" s="1164"/>
      <c r="U510" s="1164"/>
      <c r="V510" s="1164"/>
      <c r="W510" s="1164"/>
      <c r="X510" s="1640"/>
      <c r="Y510" s="1164"/>
      <c r="Z510" s="1164"/>
      <c r="AA510" s="548"/>
      <c r="AB510" s="1164"/>
      <c r="AC510" s="1164"/>
      <c r="AD510" s="1164"/>
      <c r="AE510" s="1164"/>
      <c r="AF510" s="1164"/>
      <c r="AG510" s="1636"/>
      <c r="AH510" s="570"/>
      <c r="AI510" s="570"/>
      <c r="AJ510" s="570"/>
      <c r="AK510" s="570"/>
      <c r="AL510" s="1645">
        <v>11</v>
      </c>
    </row>
    <row s="1645" customFormat="1" customHeight="1" ht="11.549999999999999">
      <c r="A511" s="991"/>
      <c r="B511" s="1640"/>
      <c r="C511" s="1640"/>
      <c r="D511" s="355"/>
      <c r="J511" s="1645"/>
      <c r="K511" s="1645"/>
      <c r="L511" s="1645"/>
      <c r="M511" s="1645"/>
      <c r="N511" s="1645"/>
      <c r="O511" s="1645"/>
      <c r="Q511" s="1164"/>
      <c r="R511" s="1640"/>
      <c r="S511" s="1640"/>
      <c r="T511" s="1164"/>
      <c r="U511" s="1164"/>
      <c r="V511" s="1164"/>
      <c r="W511" s="1164"/>
      <c r="X511" s="1640"/>
      <c r="Y511" s="1164"/>
      <c r="Z511" s="1164"/>
      <c r="AA511" s="548"/>
      <c r="AB511" s="1164"/>
      <c r="AC511" s="1164"/>
      <c r="AD511" s="1164"/>
      <c r="AE511" s="1164"/>
      <c r="AF511" s="1164"/>
      <c r="AG511" s="1636"/>
      <c r="AH511" s="570"/>
      <c r="AI511" s="570"/>
      <c r="AJ511" s="570"/>
      <c r="AK511" s="570"/>
      <c r="AL511" s="1645">
        <v>11</v>
      </c>
    </row>
    <row s="1645" customFormat="1" customHeight="1" ht="11.549999999999999">
      <c r="A512" s="991"/>
      <c r="B512" s="1640"/>
      <c r="C512" s="1640"/>
      <c r="D512" s="355"/>
      <c r="J512" s="1645"/>
      <c r="K512" s="1645"/>
      <c r="L512" s="1645"/>
      <c r="M512" s="1645"/>
      <c r="N512" s="1645"/>
      <c r="O512" s="1645"/>
      <c r="Q512" s="1164"/>
      <c r="R512" s="1640"/>
      <c r="S512" s="1640"/>
      <c r="T512" s="1164"/>
      <c r="U512" s="1164"/>
      <c r="V512" s="1164"/>
      <c r="W512" s="1164"/>
      <c r="X512" s="1640"/>
      <c r="Y512" s="1164"/>
      <c r="Z512" s="1164"/>
      <c r="AA512" s="548"/>
      <c r="AB512" s="1164"/>
      <c r="AC512" s="1164"/>
      <c r="AD512" s="1164"/>
      <c r="AE512" s="1164"/>
      <c r="AF512" s="1164"/>
      <c r="AG512" s="1636"/>
      <c r="AH512" s="570"/>
      <c r="AI512" s="570"/>
      <c r="AJ512" s="570"/>
      <c r="AK512" s="570"/>
      <c r="AL512" s="1645">
        <v>11</v>
      </c>
    </row>
    <row s="1645" customFormat="1" customHeight="1" ht="11.549999999999999">
      <c r="A513" s="991"/>
      <c r="B513" s="1640"/>
      <c r="C513" s="1640"/>
      <c r="D513" s="355"/>
      <c r="J513" s="1645"/>
      <c r="K513" s="1645"/>
      <c r="L513" s="1645"/>
      <c r="M513" s="1645"/>
      <c r="N513" s="1645"/>
      <c r="O513" s="1645"/>
      <c r="Q513" s="1164"/>
      <c r="R513" s="1640"/>
      <c r="S513" s="1640"/>
      <c r="T513" s="1164"/>
      <c r="U513" s="1164"/>
      <c r="V513" s="1164"/>
      <c r="W513" s="1164"/>
      <c r="X513" s="1640"/>
      <c r="Y513" s="1164"/>
      <c r="Z513" s="1164"/>
      <c r="AA513" s="548"/>
      <c r="AB513" s="1164"/>
      <c r="AC513" s="1164"/>
      <c r="AD513" s="1164"/>
      <c r="AE513" s="1164"/>
      <c r="AF513" s="1164"/>
      <c r="AG513" s="1636"/>
      <c r="AH513" s="570"/>
      <c r="AI513" s="570"/>
      <c r="AJ513" s="570"/>
      <c r="AK513" s="570"/>
      <c r="AL513" s="1645">
        <v>11</v>
      </c>
    </row>
    <row s="1645" customFormat="1" customHeight="1" ht="11.549999999999999">
      <c r="A514" s="991"/>
      <c r="B514" s="1640"/>
      <c r="C514" s="1640"/>
      <c r="D514" s="355"/>
      <c r="J514" s="1645"/>
      <c r="K514" s="1645"/>
      <c r="L514" s="1645"/>
      <c r="M514" s="1645"/>
      <c r="N514" s="1645"/>
      <c r="O514" s="1645"/>
      <c r="Q514" s="1164"/>
      <c r="R514" s="1640"/>
      <c r="S514" s="1640"/>
      <c r="T514" s="1164"/>
      <c r="U514" s="1164"/>
      <c r="V514" s="1164"/>
      <c r="W514" s="1164"/>
      <c r="X514" s="1640"/>
      <c r="Y514" s="1164"/>
      <c r="Z514" s="1164"/>
      <c r="AA514" s="548"/>
      <c r="AB514" s="1164"/>
      <c r="AC514" s="1164"/>
      <c r="AD514" s="1164"/>
      <c r="AE514" s="1164"/>
      <c r="AF514" s="1164"/>
      <c r="AG514" s="1636"/>
      <c r="AH514" s="570"/>
      <c r="AI514" s="570"/>
      <c r="AJ514" s="570"/>
      <c r="AK514" s="570"/>
      <c r="AL514" s="1645">
        <v>11</v>
      </c>
    </row>
    <row s="1645" customFormat="1" customHeight="1" ht="11.549999999999999">
      <c r="A515" s="991"/>
      <c r="B515" s="1640"/>
      <c r="C515" s="1640"/>
      <c r="D515" s="355"/>
      <c r="J515" s="1645"/>
      <c r="K515" s="1645"/>
      <c r="L515" s="1645"/>
      <c r="M515" s="1645"/>
      <c r="N515" s="1645"/>
      <c r="O515" s="1645"/>
      <c r="Q515" s="1164"/>
      <c r="R515" s="1640"/>
      <c r="S515" s="1640"/>
      <c r="T515" s="1164"/>
      <c r="U515" s="1164"/>
      <c r="V515" s="1164"/>
      <c r="W515" s="1164"/>
      <c r="X515" s="1640"/>
      <c r="Y515" s="1164"/>
      <c r="Z515" s="1164"/>
      <c r="AA515" s="548"/>
      <c r="AB515" s="1164"/>
      <c r="AC515" s="1164"/>
      <c r="AD515" s="1164"/>
      <c r="AE515" s="1164"/>
      <c r="AF515" s="1164"/>
      <c r="AG515" s="1636"/>
      <c r="AH515" s="570"/>
      <c r="AI515" s="570"/>
      <c r="AJ515" s="570"/>
      <c r="AK515" s="570"/>
      <c r="AL515" s="1645">
        <v>11</v>
      </c>
    </row>
    <row s="1645" customFormat="1" customHeight="1" ht="11.549999999999999">
      <c r="A516" s="991"/>
      <c r="B516" s="1640"/>
      <c r="C516" s="1640"/>
      <c r="D516" s="355"/>
      <c r="J516" s="1645"/>
      <c r="K516" s="1645"/>
      <c r="L516" s="1645"/>
      <c r="M516" s="1645"/>
      <c r="N516" s="1645"/>
      <c r="O516" s="1645"/>
      <c r="Q516" s="1164"/>
      <c r="R516" s="1640"/>
      <c r="S516" s="1640"/>
      <c r="T516" s="1164"/>
      <c r="U516" s="1164"/>
      <c r="V516" s="1164"/>
      <c r="W516" s="1164"/>
      <c r="X516" s="1640"/>
      <c r="Y516" s="1164"/>
      <c r="Z516" s="1164"/>
      <c r="AA516" s="548"/>
      <c r="AB516" s="1164"/>
      <c r="AC516" s="1164"/>
      <c r="AD516" s="1164"/>
      <c r="AE516" s="1164"/>
      <c r="AF516" s="1164"/>
      <c r="AG516" s="1636"/>
      <c r="AH516" s="570"/>
      <c r="AI516" s="570"/>
      <c r="AJ516" s="570"/>
      <c r="AK516" s="570"/>
      <c r="AL516" s="1645">
        <v>11</v>
      </c>
    </row>
    <row s="1645" customFormat="1" customHeight="1" ht="11.549999999999999">
      <c r="A517" s="991"/>
      <c r="B517" s="1640"/>
      <c r="C517" s="1640"/>
      <c r="D517" s="355"/>
      <c r="J517" s="1645"/>
      <c r="K517" s="1645"/>
      <c r="L517" s="1645"/>
      <c r="M517" s="1645"/>
      <c r="N517" s="1645"/>
      <c r="O517" s="1645"/>
      <c r="Q517" s="1164"/>
      <c r="R517" s="1640"/>
      <c r="S517" s="1640"/>
      <c r="T517" s="1164"/>
      <c r="U517" s="1164"/>
      <c r="V517" s="1164"/>
      <c r="W517" s="1164"/>
      <c r="X517" s="1640"/>
      <c r="Y517" s="1164"/>
      <c r="Z517" s="1164"/>
      <c r="AA517" s="548"/>
      <c r="AB517" s="1164"/>
      <c r="AC517" s="1164"/>
      <c r="AD517" s="1164"/>
      <c r="AE517" s="1164"/>
      <c r="AF517" s="1164"/>
      <c r="AG517" s="1636"/>
      <c r="AH517" s="570"/>
      <c r="AI517" s="570"/>
      <c r="AJ517" s="570"/>
      <c r="AK517" s="570"/>
      <c r="AL517" s="1645">
        <v>11</v>
      </c>
    </row>
    <row s="1645" customFormat="1" customHeight="1" ht="11.549999999999999">
      <c r="A518" s="991"/>
      <c r="B518" s="1640"/>
      <c r="C518" s="1640"/>
      <c r="D518" s="355"/>
      <c r="J518" s="1645"/>
      <c r="K518" s="1645"/>
      <c r="L518" s="1645"/>
      <c r="M518" s="1645"/>
      <c r="N518" s="1645"/>
      <c r="O518" s="1645"/>
      <c r="Q518" s="1164"/>
      <c r="R518" s="1640"/>
      <c r="S518" s="1640"/>
      <c r="T518" s="1164"/>
      <c r="U518" s="1164"/>
      <c r="V518" s="1164"/>
      <c r="W518" s="1164"/>
      <c r="X518" s="1640"/>
      <c r="Y518" s="1164"/>
      <c r="Z518" s="1164"/>
      <c r="AA518" s="548"/>
      <c r="AB518" s="1164"/>
      <c r="AC518" s="1164"/>
      <c r="AD518" s="1164"/>
      <c r="AE518" s="1164"/>
      <c r="AF518" s="1164"/>
      <c r="AG518" s="1636"/>
      <c r="AH518" s="570"/>
      <c r="AI518" s="570"/>
      <c r="AJ518" s="570"/>
      <c r="AK518" s="570"/>
      <c r="AL518" s="1645">
        <v>11</v>
      </c>
    </row>
    <row s="1645" customFormat="1" customHeight="1" ht="11.549999999999999">
      <c r="A519" s="991"/>
      <c r="B519" s="1640"/>
      <c r="C519" s="1640"/>
      <c r="D519" s="355"/>
      <c r="J519" s="1645"/>
      <c r="K519" s="1645"/>
      <c r="L519" s="1645"/>
      <c r="M519" s="1645"/>
      <c r="N519" s="1645"/>
      <c r="O519" s="1645"/>
      <c r="Q519" s="1164"/>
      <c r="R519" s="1640"/>
      <c r="S519" s="1640"/>
      <c r="T519" s="1164"/>
      <c r="U519" s="1164"/>
      <c r="V519" s="1164"/>
      <c r="W519" s="1164"/>
      <c r="X519" s="1640"/>
      <c r="Y519" s="1164"/>
      <c r="Z519" s="1164"/>
      <c r="AA519" s="548"/>
      <c r="AB519" s="1164"/>
      <c r="AC519" s="1164"/>
      <c r="AD519" s="1164"/>
      <c r="AE519" s="1164"/>
      <c r="AF519" s="1164"/>
      <c r="AG519" s="1636"/>
      <c r="AH519" s="570"/>
      <c r="AI519" s="570"/>
      <c r="AJ519" s="570"/>
      <c r="AK519" s="570"/>
      <c r="AL519" s="1645">
        <v>11</v>
      </c>
    </row>
    <row s="1645" customFormat="1" customHeight="1" ht="11.549999999999999">
      <c r="A520" s="991"/>
      <c r="B520" s="1640"/>
      <c r="C520" s="1640"/>
      <c r="D520" s="355"/>
      <c r="J520" s="1645"/>
      <c r="K520" s="1645"/>
      <c r="L520" s="1645"/>
      <c r="M520" s="1645"/>
      <c r="N520" s="1645"/>
      <c r="O520" s="1645"/>
      <c r="Q520" s="1164"/>
      <c r="R520" s="1640"/>
      <c r="S520" s="1640"/>
      <c r="T520" s="1164"/>
      <c r="U520" s="1164"/>
      <c r="V520" s="1164"/>
      <c r="W520" s="1164"/>
      <c r="X520" s="1640"/>
      <c r="Y520" s="1164"/>
      <c r="Z520" s="1164"/>
      <c r="AA520" s="548"/>
      <c r="AB520" s="1164"/>
      <c r="AC520" s="1164"/>
      <c r="AD520" s="1164"/>
      <c r="AE520" s="1164"/>
      <c r="AF520" s="1164"/>
      <c r="AG520" s="1636"/>
      <c r="AH520" s="570"/>
      <c r="AI520" s="570"/>
      <c r="AJ520" s="570"/>
      <c r="AK520" s="570"/>
      <c r="AL520" s="1645">
        <v>11</v>
      </c>
    </row>
    <row s="1645" customFormat="1" customHeight="1" ht="11.549999999999999">
      <c r="A521" s="991"/>
      <c r="B521" s="1640"/>
      <c r="C521" s="1640"/>
      <c r="D521" s="355"/>
      <c r="J521" s="1645"/>
      <c r="K521" s="1645"/>
      <c r="L521" s="1645"/>
      <c r="M521" s="1645"/>
      <c r="N521" s="1645"/>
      <c r="O521" s="1645"/>
      <c r="Q521" s="1164"/>
      <c r="R521" s="1640"/>
      <c r="S521" s="1640"/>
      <c r="T521" s="1164"/>
      <c r="U521" s="1164"/>
      <c r="V521" s="1164"/>
      <c r="W521" s="1164"/>
      <c r="X521" s="1640"/>
      <c r="Y521" s="1164"/>
      <c r="Z521" s="1164"/>
      <c r="AA521" s="548"/>
      <c r="AB521" s="1164"/>
      <c r="AC521" s="1164"/>
      <c r="AD521" s="1164"/>
      <c r="AE521" s="1164"/>
      <c r="AF521" s="1164"/>
      <c r="AG521" s="1636"/>
      <c r="AH521" s="570"/>
      <c r="AI521" s="570"/>
      <c r="AJ521" s="570"/>
      <c r="AK521" s="570"/>
      <c r="AL521" s="1645">
        <v>11</v>
      </c>
    </row>
    <row s="1645" customFormat="1" customHeight="1" ht="11.549999999999999">
      <c r="A522" s="991"/>
      <c r="B522" s="1640"/>
      <c r="C522" s="1640"/>
      <c r="D522" s="355"/>
      <c r="J522" s="1645"/>
      <c r="K522" s="1645"/>
      <c r="L522" s="1645"/>
      <c r="M522" s="1645"/>
      <c r="N522" s="1645"/>
      <c r="O522" s="1645"/>
      <c r="Q522" s="1164"/>
      <c r="R522" s="1640"/>
      <c r="S522" s="1640"/>
      <c r="T522" s="1164"/>
      <c r="U522" s="1164"/>
      <c r="V522" s="1164"/>
      <c r="W522" s="1164"/>
      <c r="X522" s="1640"/>
      <c r="Y522" s="1164"/>
      <c r="Z522" s="1164"/>
      <c r="AA522" s="548"/>
      <c r="AB522" s="1164"/>
      <c r="AC522" s="1164"/>
      <c r="AD522" s="1164"/>
      <c r="AE522" s="1164"/>
      <c r="AF522" s="1164"/>
      <c r="AG522" s="1636"/>
      <c r="AH522" s="570"/>
      <c r="AI522" s="570"/>
      <c r="AJ522" s="570"/>
      <c r="AK522" s="570"/>
      <c r="AL522" s="1645">
        <v>11</v>
      </c>
    </row>
    <row s="1645" customFormat="1" customHeight="1" ht="11.549999999999999">
      <c r="A523" s="991"/>
      <c r="B523" s="1640"/>
      <c r="C523" s="1640"/>
      <c r="D523" s="355"/>
      <c r="J523" s="1645"/>
      <c r="K523" s="1645"/>
      <c r="L523" s="1645"/>
      <c r="M523" s="1645"/>
      <c r="N523" s="1645"/>
      <c r="O523" s="1645"/>
      <c r="Q523" s="1164"/>
      <c r="R523" s="1640"/>
      <c r="S523" s="1640"/>
      <c r="T523" s="1164"/>
      <c r="U523" s="1164"/>
      <c r="V523" s="1164"/>
      <c r="W523" s="1164"/>
      <c r="X523" s="1640"/>
      <c r="Y523" s="1164"/>
      <c r="Z523" s="1164"/>
      <c r="AA523" s="548"/>
      <c r="AB523" s="1164"/>
      <c r="AC523" s="1164"/>
      <c r="AD523" s="1164"/>
      <c r="AE523" s="1164"/>
      <c r="AF523" s="1164"/>
      <c r="AG523" s="1636"/>
      <c r="AH523" s="570"/>
      <c r="AI523" s="570"/>
      <c r="AJ523" s="570"/>
      <c r="AK523" s="570"/>
      <c r="AL523" s="1645">
        <v>11</v>
      </c>
    </row>
    <row s="1645" customFormat="1" customHeight="1" ht="11.549999999999999">
      <c r="A524" s="991"/>
      <c r="B524" s="1640"/>
      <c r="C524" s="1640"/>
      <c r="D524" s="355"/>
      <c r="J524" s="1645"/>
      <c r="K524" s="1645"/>
      <c r="L524" s="1645"/>
      <c r="M524" s="1645"/>
      <c r="N524" s="1645"/>
      <c r="O524" s="1645"/>
      <c r="Q524" s="1164"/>
      <c r="R524" s="1640"/>
      <c r="S524" s="1640"/>
      <c r="T524" s="1164"/>
      <c r="U524" s="1164"/>
      <c r="V524" s="1164"/>
      <c r="W524" s="1164"/>
      <c r="X524" s="1640"/>
      <c r="Y524" s="1164"/>
      <c r="Z524" s="1164"/>
      <c r="AA524" s="548"/>
      <c r="AB524" s="1164"/>
      <c r="AC524" s="1164"/>
      <c r="AD524" s="1164"/>
      <c r="AE524" s="1164"/>
      <c r="AF524" s="1164"/>
      <c r="AG524" s="1636"/>
      <c r="AH524" s="570"/>
      <c r="AI524" s="570"/>
      <c r="AJ524" s="570"/>
      <c r="AK524" s="570"/>
      <c r="AL524" s="1645">
        <v>11</v>
      </c>
    </row>
    <row s="1645" customFormat="1" customHeight="1" ht="11.549999999999999">
      <c r="A525" s="991"/>
      <c r="B525" s="1640"/>
      <c r="C525" s="1640"/>
      <c r="D525" s="355"/>
      <c r="J525" s="1645"/>
      <c r="K525" s="1645"/>
      <c r="L525" s="1645"/>
      <c r="M525" s="1645"/>
      <c r="N525" s="1645"/>
      <c r="O525" s="1645"/>
      <c r="Q525" s="1164"/>
      <c r="R525" s="1640"/>
      <c r="S525" s="1640"/>
      <c r="T525" s="1164"/>
      <c r="U525" s="1164"/>
      <c r="V525" s="1164"/>
      <c r="W525" s="1164"/>
      <c r="X525" s="1640"/>
      <c r="Y525" s="1164"/>
      <c r="Z525" s="1164"/>
      <c r="AA525" s="548"/>
      <c r="AB525" s="1164"/>
      <c r="AC525" s="1164"/>
      <c r="AD525" s="1164"/>
      <c r="AE525" s="1164"/>
      <c r="AF525" s="1164"/>
      <c r="AG525" s="1636"/>
      <c r="AH525" s="570"/>
      <c r="AI525" s="570"/>
      <c r="AJ525" s="570"/>
      <c r="AK525" s="570"/>
      <c r="AL525" s="1645">
        <v>11</v>
      </c>
    </row>
    <row s="1645" customFormat="1" customHeight="1" ht="11.549999999999999">
      <c r="A526" s="991"/>
      <c r="B526" s="1640"/>
      <c r="C526" s="1640"/>
      <c r="D526" s="355"/>
      <c r="J526" s="1645"/>
      <c r="K526" s="1645"/>
      <c r="L526" s="1645"/>
      <c r="M526" s="1645"/>
      <c r="N526" s="1645"/>
      <c r="O526" s="1645"/>
      <c r="Q526" s="1164"/>
      <c r="R526" s="1640"/>
      <c r="S526" s="1640"/>
      <c r="T526" s="1164"/>
      <c r="U526" s="1164"/>
      <c r="V526" s="1164"/>
      <c r="W526" s="1164"/>
      <c r="X526" s="1640"/>
      <c r="Y526" s="1164"/>
      <c r="Z526" s="1164"/>
      <c r="AA526" s="548"/>
      <c r="AB526" s="1164"/>
      <c r="AC526" s="1164"/>
      <c r="AD526" s="1164"/>
      <c r="AE526" s="1164"/>
      <c r="AF526" s="1164"/>
      <c r="AG526" s="1636"/>
      <c r="AH526" s="570"/>
      <c r="AI526" s="570"/>
      <c r="AJ526" s="570"/>
      <c r="AK526" s="570"/>
      <c r="AL526" s="1645">
        <v>11</v>
      </c>
    </row>
    <row s="1645" customFormat="1" customHeight="1" ht="11.549999999999999">
      <c r="A527" s="991"/>
      <c r="B527" s="1640"/>
      <c r="C527" s="1640"/>
      <c r="D527" s="355"/>
      <c r="J527" s="1645"/>
      <c r="K527" s="1645"/>
      <c r="L527" s="1645"/>
      <c r="M527" s="1645"/>
      <c r="N527" s="1645"/>
      <c r="O527" s="1645"/>
      <c r="Q527" s="1164"/>
      <c r="R527" s="1640"/>
      <c r="S527" s="1640"/>
      <c r="T527" s="1164"/>
      <c r="U527" s="1164"/>
      <c r="V527" s="1164"/>
      <c r="W527" s="1164"/>
      <c r="X527" s="1640"/>
      <c r="Y527" s="1164"/>
      <c r="Z527" s="1164"/>
      <c r="AA527" s="548"/>
      <c r="AB527" s="1164"/>
      <c r="AC527" s="1164"/>
      <c r="AD527" s="1164"/>
      <c r="AE527" s="1164"/>
      <c r="AF527" s="1164"/>
      <c r="AG527" s="1636"/>
      <c r="AH527" s="570"/>
      <c r="AI527" s="570"/>
      <c r="AJ527" s="570"/>
      <c r="AK527" s="570"/>
      <c r="AL527" s="1645">
        <v>11</v>
      </c>
    </row>
    <row s="1645" customFormat="1" customHeight="1" ht="11.549999999999999">
      <c r="A528" s="991"/>
      <c r="B528" s="1640"/>
      <c r="C528" s="1640"/>
      <c r="D528" s="355"/>
      <c r="J528" s="1645"/>
      <c r="K528" s="1645"/>
      <c r="L528" s="1645"/>
      <c r="M528" s="1645"/>
      <c r="N528" s="1645"/>
      <c r="O528" s="1645"/>
      <c r="Q528" s="1164"/>
      <c r="R528" s="1640"/>
      <c r="S528" s="1640"/>
      <c r="T528" s="1164"/>
      <c r="U528" s="1164"/>
      <c r="V528" s="1164"/>
      <c r="W528" s="1164"/>
      <c r="X528" s="1640"/>
      <c r="Y528" s="1164"/>
      <c r="Z528" s="1164"/>
      <c r="AA528" s="548"/>
      <c r="AB528" s="1164"/>
      <c r="AC528" s="1164"/>
      <c r="AD528" s="1164"/>
      <c r="AE528" s="1164"/>
      <c r="AF528" s="1164"/>
      <c r="AG528" s="1636"/>
      <c r="AH528" s="570"/>
      <c r="AI528" s="570"/>
      <c r="AJ528" s="570"/>
      <c r="AK528" s="570"/>
      <c r="AL528" s="1645">
        <v>11</v>
      </c>
    </row>
    <row s="1645" customFormat="1" customHeight="1" ht="11.549999999999999">
      <c r="A529" s="991"/>
      <c r="B529" s="1640"/>
      <c r="C529" s="1640"/>
      <c r="D529" s="355"/>
      <c r="J529" s="1645"/>
      <c r="K529" s="1645"/>
      <c r="L529" s="1645"/>
      <c r="M529" s="1645"/>
      <c r="N529" s="1645"/>
      <c r="O529" s="1645"/>
      <c r="Q529" s="1164"/>
      <c r="R529" s="1640"/>
      <c r="S529" s="1640"/>
      <c r="T529" s="1164"/>
      <c r="U529" s="1164"/>
      <c r="V529" s="1164"/>
      <c r="W529" s="1164"/>
      <c r="X529" s="1640"/>
      <c r="Y529" s="1164"/>
      <c r="Z529" s="1164"/>
      <c r="AA529" s="548"/>
      <c r="AB529" s="1164"/>
      <c r="AC529" s="1164"/>
      <c r="AD529" s="1164"/>
      <c r="AE529" s="1164"/>
      <c r="AF529" s="1164"/>
      <c r="AG529" s="1636"/>
      <c r="AH529" s="570"/>
      <c r="AI529" s="570"/>
      <c r="AJ529" s="570"/>
      <c r="AK529" s="570"/>
      <c r="AL529" s="1645">
        <v>11</v>
      </c>
    </row>
    <row s="1645" customFormat="1" customHeight="1" ht="11.549999999999999">
      <c r="A530" s="991"/>
      <c r="B530" s="1640"/>
      <c r="C530" s="1640"/>
      <c r="D530" s="355"/>
      <c r="J530" s="1645"/>
      <c r="K530" s="1645"/>
      <c r="L530" s="1645"/>
      <c r="M530" s="1645"/>
      <c r="N530" s="1645"/>
      <c r="O530" s="1645"/>
      <c r="Q530" s="1164"/>
      <c r="R530" s="1640"/>
      <c r="S530" s="1640"/>
      <c r="T530" s="1164"/>
      <c r="U530" s="1164"/>
      <c r="V530" s="1164"/>
      <c r="W530" s="1164"/>
      <c r="X530" s="1640"/>
      <c r="Y530" s="1164"/>
      <c r="Z530" s="1164"/>
      <c r="AA530" s="548"/>
      <c r="AB530" s="1164"/>
      <c r="AC530" s="1164"/>
      <c r="AD530" s="1164"/>
      <c r="AE530" s="1164"/>
      <c r="AF530" s="1164"/>
      <c r="AG530" s="1636"/>
      <c r="AH530" s="570"/>
      <c r="AI530" s="570"/>
      <c r="AJ530" s="570"/>
      <c r="AK530" s="570"/>
      <c r="AL530" s="1645">
        <v>11</v>
      </c>
    </row>
    <row s="1645" customFormat="1" customHeight="1" ht="11.549999999999999">
      <c r="A531" s="991"/>
      <c r="B531" s="1640"/>
      <c r="C531" s="1640"/>
      <c r="D531" s="355"/>
      <c r="J531" s="1645"/>
      <c r="K531" s="1645"/>
      <c r="L531" s="1645"/>
      <c r="M531" s="1645"/>
      <c r="N531" s="1645"/>
      <c r="O531" s="1645"/>
      <c r="Q531" s="1164"/>
      <c r="R531" s="1640"/>
      <c r="S531" s="1640"/>
      <c r="T531" s="1164"/>
      <c r="U531" s="1164"/>
      <c r="V531" s="1164"/>
      <c r="W531" s="1164"/>
      <c r="X531" s="1640"/>
      <c r="Y531" s="1164"/>
      <c r="Z531" s="1164"/>
      <c r="AA531" s="548"/>
      <c r="AB531" s="1164"/>
      <c r="AC531" s="1164"/>
      <c r="AD531" s="1164"/>
      <c r="AE531" s="1164"/>
      <c r="AF531" s="1164"/>
      <c r="AG531" s="1636"/>
      <c r="AH531" s="570"/>
      <c r="AI531" s="570"/>
      <c r="AJ531" s="570"/>
      <c r="AK531" s="570"/>
      <c r="AL531" s="1645">
        <v>11</v>
      </c>
    </row>
    <row s="1645" customFormat="1" customHeight="1" ht="11.549999999999999">
      <c r="A532" s="991"/>
      <c r="B532" s="1640"/>
      <c r="C532" s="1640"/>
      <c r="D532" s="355"/>
      <c r="J532" s="1645"/>
      <c r="K532" s="1645"/>
      <c r="L532" s="1645"/>
      <c r="M532" s="1645"/>
      <c r="N532" s="1645"/>
      <c r="O532" s="1645"/>
      <c r="Q532" s="1164"/>
      <c r="R532" s="1640"/>
      <c r="S532" s="1640"/>
      <c r="T532" s="1164"/>
      <c r="U532" s="1164"/>
      <c r="V532" s="1164"/>
      <c r="W532" s="1164"/>
      <c r="X532" s="1640"/>
      <c r="Y532" s="1164"/>
      <c r="Z532" s="1164"/>
      <c r="AA532" s="548"/>
      <c r="AB532" s="1164"/>
      <c r="AC532" s="1164"/>
      <c r="AD532" s="1164"/>
      <c r="AE532" s="1164"/>
      <c r="AF532" s="1164"/>
      <c r="AG532" s="1636"/>
      <c r="AH532" s="570"/>
      <c r="AI532" s="570"/>
      <c r="AJ532" s="570"/>
      <c r="AK532" s="570"/>
      <c r="AL532" s="1645">
        <v>11</v>
      </c>
    </row>
    <row s="1645" customFormat="1" customHeight="1" ht="11.549999999999999">
      <c r="A533" s="991"/>
      <c r="B533" s="1640"/>
      <c r="C533" s="1640"/>
      <c r="D533" s="355"/>
      <c r="J533" s="1645"/>
      <c r="K533" s="1645"/>
      <c r="L533" s="1645"/>
      <c r="M533" s="1645"/>
      <c r="N533" s="1645"/>
      <c r="O533" s="1645"/>
      <c r="Q533" s="1164"/>
      <c r="R533" s="1640"/>
      <c r="S533" s="1640"/>
      <c r="T533" s="1164"/>
      <c r="U533" s="1164"/>
      <c r="V533" s="1164"/>
      <c r="W533" s="1164"/>
      <c r="X533" s="1640"/>
      <c r="Y533" s="1164"/>
      <c r="Z533" s="1164"/>
      <c r="AA533" s="548"/>
      <c r="AB533" s="1164"/>
      <c r="AC533" s="1164"/>
      <c r="AD533" s="1164"/>
      <c r="AE533" s="1164"/>
      <c r="AF533" s="1164"/>
      <c r="AG533" s="1636"/>
      <c r="AH533" s="570"/>
      <c r="AI533" s="570"/>
      <c r="AJ533" s="570"/>
      <c r="AK533" s="570"/>
      <c r="AL533" s="1645">
        <v>11</v>
      </c>
    </row>
    <row s="1645" customFormat="1" customHeight="1" ht="11.549999999999999">
      <c r="A534" s="991"/>
      <c r="B534" s="1640"/>
      <c r="C534" s="1640"/>
      <c r="D534" s="355"/>
      <c r="J534" s="1645"/>
      <c r="K534" s="1645"/>
      <c r="L534" s="1645"/>
      <c r="M534" s="1645"/>
      <c r="N534" s="1645"/>
      <c r="O534" s="1645"/>
      <c r="Q534" s="1164"/>
      <c r="R534" s="1640"/>
      <c r="S534" s="1640"/>
      <c r="T534" s="1164"/>
      <c r="U534" s="1164"/>
      <c r="V534" s="1164"/>
      <c r="W534" s="1164"/>
      <c r="X534" s="1640"/>
      <c r="Y534" s="1164"/>
      <c r="Z534" s="1164"/>
      <c r="AA534" s="548"/>
      <c r="AB534" s="1164"/>
      <c r="AC534" s="1164"/>
      <c r="AD534" s="1164"/>
      <c r="AE534" s="1164"/>
      <c r="AF534" s="1164"/>
      <c r="AG534" s="1636"/>
      <c r="AH534" s="570"/>
      <c r="AI534" s="570"/>
      <c r="AJ534" s="570"/>
      <c r="AK534" s="570"/>
      <c r="AL534" s="1645">
        <v>11</v>
      </c>
    </row>
    <row s="1645" customFormat="1" customHeight="1" ht="11.549999999999999">
      <c r="A535" s="991"/>
      <c r="B535" s="1640"/>
      <c r="C535" s="1640"/>
      <c r="D535" s="355"/>
      <c r="J535" s="1645"/>
      <c r="K535" s="1645"/>
      <c r="L535" s="1645"/>
      <c r="M535" s="1645"/>
      <c r="N535" s="1645"/>
      <c r="O535" s="1645"/>
      <c r="Q535" s="1164"/>
      <c r="R535" s="1640"/>
      <c r="S535" s="1640"/>
      <c r="T535" s="1164"/>
      <c r="U535" s="1164"/>
      <c r="V535" s="1164"/>
      <c r="W535" s="1164"/>
      <c r="X535" s="1640"/>
      <c r="Y535" s="1164"/>
      <c r="Z535" s="1164"/>
      <c r="AA535" s="548"/>
      <c r="AB535" s="1164"/>
      <c r="AC535" s="1164"/>
      <c r="AD535" s="1164"/>
      <c r="AE535" s="1164"/>
      <c r="AF535" s="1164"/>
      <c r="AG535" s="1636"/>
      <c r="AH535" s="570"/>
      <c r="AI535" s="570"/>
      <c r="AJ535" s="570"/>
      <c r="AK535" s="570"/>
      <c r="AL535" s="1645">
        <v>11</v>
      </c>
    </row>
    <row s="1645" customFormat="1" customHeight="1" ht="11.549999999999999">
      <c r="A536" s="991"/>
      <c r="B536" s="1640"/>
      <c r="C536" s="1640"/>
      <c r="D536" s="355"/>
      <c r="J536" s="1645"/>
      <c r="K536" s="1645"/>
      <c r="L536" s="1645"/>
      <c r="M536" s="1645"/>
      <c r="N536" s="1645"/>
      <c r="O536" s="1645"/>
      <c r="Q536" s="1164"/>
      <c r="R536" s="1640"/>
      <c r="S536" s="1640"/>
      <c r="T536" s="1164"/>
      <c r="U536" s="1164"/>
      <c r="V536" s="1164"/>
      <c r="W536" s="1164"/>
      <c r="X536" s="1640"/>
      <c r="Y536" s="1164"/>
      <c r="Z536" s="1164"/>
      <c r="AA536" s="548"/>
      <c r="AB536" s="1164"/>
      <c r="AC536" s="1164"/>
      <c r="AD536" s="1164"/>
      <c r="AE536" s="1164"/>
      <c r="AF536" s="1164"/>
      <c r="AG536" s="1636"/>
      <c r="AH536" s="570"/>
      <c r="AI536" s="570"/>
      <c r="AJ536" s="570"/>
      <c r="AK536" s="570"/>
      <c r="AL536" s="1645">
        <v>11</v>
      </c>
    </row>
    <row s="1645" customFormat="1" customHeight="1" ht="11.549999999999999">
      <c r="A537" s="991"/>
      <c r="B537" s="1640"/>
      <c r="C537" s="1640"/>
      <c r="D537" s="355"/>
      <c r="J537" s="1645"/>
      <c r="K537" s="1645"/>
      <c r="L537" s="1645"/>
      <c r="M537" s="1645"/>
      <c r="N537" s="1645"/>
      <c r="O537" s="1645"/>
      <c r="Q537" s="1164"/>
      <c r="R537" s="1640"/>
      <c r="S537" s="1640"/>
      <c r="T537" s="1164"/>
      <c r="U537" s="1164"/>
      <c r="V537" s="1164"/>
      <c r="W537" s="1164"/>
      <c r="X537" s="1640"/>
      <c r="Y537" s="1164"/>
      <c r="Z537" s="1164"/>
      <c r="AA537" s="548"/>
      <c r="AB537" s="1164"/>
      <c r="AC537" s="1164"/>
      <c r="AD537" s="1164"/>
      <c r="AE537" s="1164"/>
      <c r="AF537" s="1164"/>
      <c r="AG537" s="1636"/>
      <c r="AH537" s="570"/>
      <c r="AI537" s="570"/>
      <c r="AJ537" s="570"/>
      <c r="AK537" s="570"/>
      <c r="AL537" s="1645">
        <v>11</v>
      </c>
    </row>
    <row s="1645" customFormat="1" customHeight="1" ht="11.549999999999999">
      <c r="A538" s="991"/>
      <c r="B538" s="1640"/>
      <c r="C538" s="1640"/>
      <c r="D538" s="355"/>
      <c r="J538" s="1645"/>
      <c r="K538" s="1645"/>
      <c r="L538" s="1645"/>
      <c r="M538" s="1645"/>
      <c r="N538" s="1645"/>
      <c r="O538" s="1645"/>
      <c r="Q538" s="1164"/>
      <c r="R538" s="1640"/>
      <c r="S538" s="1640"/>
      <c r="T538" s="1164"/>
      <c r="U538" s="1164"/>
      <c r="V538" s="1164"/>
      <c r="W538" s="1164"/>
      <c r="X538" s="1640"/>
      <c r="Y538" s="1164"/>
      <c r="Z538" s="1164"/>
      <c r="AA538" s="548"/>
      <c r="AB538" s="1164"/>
      <c r="AC538" s="1164"/>
      <c r="AD538" s="1164"/>
      <c r="AE538" s="1164"/>
      <c r="AF538" s="1164"/>
      <c r="AG538" s="1636"/>
      <c r="AH538" s="570"/>
      <c r="AI538" s="570"/>
      <c r="AJ538" s="570"/>
      <c r="AK538" s="570"/>
      <c r="AL538" s="1645">
        <v>11</v>
      </c>
    </row>
    <row s="1645" customFormat="1" customHeight="1" ht="11.549999999999999">
      <c r="A539" s="991"/>
      <c r="B539" s="1640"/>
      <c r="C539" s="1640"/>
      <c r="D539" s="355"/>
      <c r="J539" s="1645"/>
      <c r="K539" s="1645"/>
      <c r="L539" s="1645"/>
      <c r="M539" s="1645"/>
      <c r="N539" s="1645"/>
      <c r="O539" s="1645"/>
      <c r="Q539" s="1164"/>
      <c r="R539" s="1640"/>
      <c r="S539" s="1640"/>
      <c r="T539" s="1164"/>
      <c r="U539" s="1164"/>
      <c r="V539" s="1164"/>
      <c r="W539" s="1164"/>
      <c r="X539" s="1640"/>
      <c r="Y539" s="1164"/>
      <c r="Z539" s="1164"/>
      <c r="AA539" s="548"/>
      <c r="AB539" s="1164"/>
      <c r="AC539" s="1164"/>
      <c r="AD539" s="1164"/>
      <c r="AE539" s="1164"/>
      <c r="AF539" s="1164"/>
      <c r="AG539" s="1636"/>
      <c r="AH539" s="570"/>
      <c r="AI539" s="570"/>
      <c r="AJ539" s="570"/>
      <c r="AK539" s="570"/>
      <c r="AL539" s="1645">
        <v>11</v>
      </c>
    </row>
    <row s="1645" customFormat="1" customHeight="1" ht="11.549999999999999">
      <c r="A540" s="991"/>
      <c r="B540" s="1640"/>
      <c r="C540" s="1640"/>
      <c r="D540" s="355"/>
      <c r="J540" s="1645"/>
      <c r="K540" s="1645"/>
      <c r="L540" s="1645"/>
      <c r="M540" s="1645"/>
      <c r="N540" s="1645"/>
      <c r="O540" s="1645"/>
      <c r="Q540" s="1164"/>
      <c r="R540" s="1640"/>
      <c r="S540" s="1640"/>
      <c r="T540" s="1164"/>
      <c r="U540" s="1164"/>
      <c r="V540" s="1164"/>
      <c r="W540" s="1164"/>
      <c r="X540" s="1640"/>
      <c r="Y540" s="1164"/>
      <c r="Z540" s="1164"/>
      <c r="AA540" s="548"/>
      <c r="AB540" s="1164"/>
      <c r="AC540" s="1164"/>
      <c r="AD540" s="1164"/>
      <c r="AE540" s="1164"/>
      <c r="AF540" s="1164"/>
      <c r="AG540" s="1636"/>
      <c r="AH540" s="570"/>
      <c r="AI540" s="570"/>
      <c r="AJ540" s="570"/>
      <c r="AK540" s="570"/>
      <c r="AL540" s="1645">
        <v>11</v>
      </c>
    </row>
    <row s="1645" customFormat="1" customHeight="1" ht="11.549999999999999">
      <c r="A541" s="991"/>
      <c r="B541" s="1640"/>
      <c r="C541" s="1640"/>
      <c r="D541" s="355"/>
      <c r="J541" s="1645"/>
      <c r="K541" s="1645"/>
      <c r="L541" s="1645"/>
      <c r="M541" s="1645"/>
      <c r="N541" s="1645"/>
      <c r="O541" s="1645"/>
      <c r="Q541" s="1164"/>
      <c r="R541" s="1640"/>
      <c r="S541" s="1640"/>
      <c r="T541" s="1164"/>
      <c r="U541" s="1164"/>
      <c r="V541" s="1164"/>
      <c r="W541" s="1164"/>
      <c r="X541" s="1640"/>
      <c r="Y541" s="1164"/>
      <c r="Z541" s="1164"/>
      <c r="AA541" s="548"/>
      <c r="AB541" s="1164"/>
      <c r="AC541" s="1164"/>
      <c r="AD541" s="1164"/>
      <c r="AE541" s="1164"/>
      <c r="AF541" s="1164"/>
      <c r="AG541" s="1636"/>
      <c r="AH541" s="570"/>
      <c r="AI541" s="570"/>
      <c r="AJ541" s="570"/>
      <c r="AK541" s="570"/>
      <c r="AL541" s="1645">
        <v>11</v>
      </c>
    </row>
    <row s="1645" customFormat="1" customHeight="1" ht="11.549999999999999">
      <c r="A542" s="991"/>
      <c r="B542" s="1640"/>
      <c r="C542" s="1640"/>
      <c r="D542" s="355"/>
      <c r="J542" s="1645"/>
      <c r="K542" s="1645"/>
      <c r="L542" s="1645"/>
      <c r="M542" s="1645"/>
      <c r="N542" s="1645"/>
      <c r="O542" s="1645"/>
      <c r="Q542" s="1164"/>
      <c r="R542" s="1640"/>
      <c r="S542" s="1640"/>
      <c r="T542" s="1164"/>
      <c r="U542" s="1164"/>
      <c r="V542" s="1164"/>
      <c r="W542" s="1164"/>
      <c r="X542" s="1640"/>
      <c r="Y542" s="1164"/>
      <c r="Z542" s="1164"/>
      <c r="AA542" s="548"/>
      <c r="AB542" s="1164"/>
      <c r="AC542" s="1164"/>
      <c r="AD542" s="1164"/>
      <c r="AE542" s="1164"/>
      <c r="AF542" s="1164"/>
      <c r="AG542" s="1636"/>
      <c r="AH542" s="570"/>
      <c r="AI542" s="570"/>
      <c r="AJ542" s="570"/>
      <c r="AK542" s="570"/>
      <c r="AL542" s="1645">
        <v>11</v>
      </c>
    </row>
    <row s="1645" customFormat="1" customHeight="1" ht="11.549999999999999">
      <c r="A543" s="991"/>
      <c r="B543" s="1640"/>
      <c r="C543" s="1640"/>
      <c r="D543" s="355"/>
      <c r="J543" s="1645"/>
      <c r="K543" s="1645"/>
      <c r="L543" s="1645"/>
      <c r="M543" s="1645"/>
      <c r="N543" s="1645"/>
      <c r="O543" s="1645"/>
      <c r="Q543" s="1164"/>
      <c r="R543" s="1640"/>
      <c r="S543" s="1640"/>
      <c r="T543" s="1164"/>
      <c r="U543" s="1164"/>
      <c r="V543" s="1164"/>
      <c r="W543" s="1164"/>
      <c r="X543" s="1640"/>
      <c r="Y543" s="1164"/>
      <c r="Z543" s="1164"/>
      <c r="AA543" s="548"/>
      <c r="AB543" s="1164"/>
      <c r="AC543" s="1164"/>
      <c r="AD543" s="1164"/>
      <c r="AE543" s="1164"/>
      <c r="AF543" s="1164"/>
      <c r="AG543" s="1636"/>
      <c r="AH543" s="570"/>
      <c r="AI543" s="570"/>
      <c r="AJ543" s="570"/>
      <c r="AK543" s="570"/>
      <c r="AL543" s="1645">
        <v>11</v>
      </c>
    </row>
    <row s="1645" customFormat="1" customHeight="1" ht="11.549999999999999">
      <c r="A544" s="991"/>
      <c r="B544" s="1640"/>
      <c r="C544" s="1640"/>
      <c r="D544" s="355"/>
      <c r="J544" s="1645"/>
      <c r="K544" s="1645"/>
      <c r="L544" s="1645"/>
      <c r="M544" s="1645"/>
      <c r="N544" s="1645"/>
      <c r="O544" s="1645"/>
      <c r="Q544" s="1164"/>
      <c r="R544" s="1640"/>
      <c r="S544" s="1640"/>
      <c r="T544" s="1164"/>
      <c r="U544" s="1164"/>
      <c r="V544" s="1164"/>
      <c r="W544" s="1164"/>
      <c r="X544" s="1640"/>
      <c r="Y544" s="1164"/>
      <c r="Z544" s="1164"/>
      <c r="AA544" s="548"/>
      <c r="AB544" s="1164"/>
      <c r="AC544" s="1164"/>
      <c r="AD544" s="1164"/>
      <c r="AE544" s="1164"/>
      <c r="AF544" s="1164"/>
      <c r="AG544" s="1636"/>
      <c r="AH544" s="570"/>
      <c r="AI544" s="570"/>
      <c r="AJ544" s="570"/>
      <c r="AK544" s="570"/>
      <c r="AL544" s="1645">
        <v>11</v>
      </c>
    </row>
    <row s="1645" customFormat="1" customHeight="1" ht="11.549999999999999">
      <c r="A545" s="991"/>
      <c r="B545" s="1640"/>
      <c r="C545" s="1640"/>
      <c r="D545" s="355"/>
      <c r="J545" s="1645"/>
      <c r="K545" s="1645"/>
      <c r="L545" s="1645"/>
      <c r="M545" s="1645"/>
      <c r="N545" s="1645"/>
      <c r="O545" s="1645"/>
      <c r="Q545" s="1164"/>
      <c r="R545" s="1640"/>
      <c r="S545" s="1640"/>
      <c r="T545" s="1164"/>
      <c r="U545" s="1164"/>
      <c r="V545" s="1164"/>
      <c r="W545" s="1164"/>
      <c r="X545" s="1640"/>
      <c r="Y545" s="1164"/>
      <c r="Z545" s="1164"/>
      <c r="AA545" s="548"/>
      <c r="AB545" s="1164"/>
      <c r="AC545" s="1164"/>
      <c r="AD545" s="1164"/>
      <c r="AE545" s="1164"/>
      <c r="AF545" s="1164"/>
      <c r="AG545" s="1636"/>
      <c r="AH545" s="570"/>
      <c r="AI545" s="570"/>
      <c r="AJ545" s="570"/>
      <c r="AK545" s="570"/>
      <c r="AL545" s="1645">
        <v>11</v>
      </c>
    </row>
    <row s="1645" customFormat="1" customHeight="1" ht="11.549999999999999">
      <c r="A546" s="991"/>
      <c r="B546" s="1640"/>
      <c r="C546" s="1640"/>
      <c r="D546" s="355"/>
      <c r="J546" s="1645"/>
      <c r="K546" s="1645"/>
      <c r="L546" s="1645"/>
      <c r="M546" s="1645"/>
      <c r="N546" s="1645"/>
      <c r="O546" s="1645"/>
      <c r="Q546" s="1164"/>
      <c r="R546" s="1640"/>
      <c r="S546" s="1640"/>
      <c r="T546" s="1164"/>
      <c r="U546" s="1164"/>
      <c r="V546" s="1164"/>
      <c r="W546" s="1164"/>
      <c r="X546" s="1640"/>
      <c r="Y546" s="1164"/>
      <c r="Z546" s="1164"/>
      <c r="AA546" s="548"/>
      <c r="AB546" s="1164"/>
      <c r="AC546" s="1164"/>
      <c r="AD546" s="1164"/>
      <c r="AE546" s="1164"/>
      <c r="AF546" s="1164"/>
      <c r="AG546" s="1636"/>
      <c r="AH546" s="570"/>
      <c r="AI546" s="570"/>
      <c r="AJ546" s="570"/>
      <c r="AK546" s="570"/>
      <c r="AL546" s="1645">
        <v>11</v>
      </c>
    </row>
    <row s="1645" customFormat="1" customHeight="1" ht="11.549999999999999">
      <c r="A547" s="991"/>
      <c r="B547" s="1640"/>
      <c r="C547" s="1640"/>
      <c r="D547" s="355"/>
      <c r="J547" s="1645"/>
      <c r="K547" s="1645"/>
      <c r="L547" s="1645"/>
      <c r="M547" s="1645"/>
      <c r="N547" s="1645"/>
      <c r="O547" s="1645"/>
      <c r="Q547" s="1164"/>
      <c r="R547" s="1640"/>
      <c r="S547" s="1640"/>
      <c r="T547" s="1164"/>
      <c r="U547" s="1164"/>
      <c r="V547" s="1164"/>
      <c r="W547" s="1164"/>
      <c r="X547" s="1640"/>
      <c r="Y547" s="1164"/>
      <c r="Z547" s="1164"/>
      <c r="AA547" s="548"/>
      <c r="AB547" s="1164"/>
      <c r="AC547" s="1164"/>
      <c r="AD547" s="1164"/>
      <c r="AE547" s="1164"/>
      <c r="AF547" s="1164"/>
      <c r="AG547" s="1636"/>
      <c r="AH547" s="570"/>
      <c r="AI547" s="570"/>
      <c r="AJ547" s="570"/>
      <c r="AK547" s="570"/>
      <c r="AL547" s="1645">
        <v>11</v>
      </c>
    </row>
    <row s="1645" customFormat="1" customHeight="1" ht="11.549999999999999">
      <c r="A548" s="991"/>
      <c r="B548" s="1640"/>
      <c r="C548" s="1640"/>
      <c r="D548" s="355"/>
      <c r="J548" s="1645"/>
      <c r="K548" s="1645"/>
      <c r="L548" s="1645"/>
      <c r="M548" s="1645"/>
      <c r="N548" s="1645"/>
      <c r="O548" s="1645"/>
      <c r="Q548" s="1164"/>
      <c r="R548" s="1640"/>
      <c r="S548" s="1640"/>
      <c r="T548" s="1164"/>
      <c r="U548" s="1164"/>
      <c r="V548" s="1164"/>
      <c r="W548" s="1164"/>
      <c r="X548" s="1640"/>
      <c r="Y548" s="1164"/>
      <c r="Z548" s="1164"/>
      <c r="AA548" s="548"/>
      <c r="AB548" s="1164"/>
      <c r="AC548" s="1164"/>
      <c r="AD548" s="1164"/>
      <c r="AE548" s="1164"/>
      <c r="AF548" s="1164"/>
      <c r="AG548" s="1636"/>
      <c r="AH548" s="570"/>
      <c r="AI548" s="570"/>
      <c r="AJ548" s="570"/>
      <c r="AK548" s="570"/>
      <c r="AL548" s="1645">
        <v>11</v>
      </c>
    </row>
    <row s="1645" customFormat="1" customHeight="1" ht="11.549999999999999">
      <c r="A549" s="991"/>
      <c r="B549" s="1640"/>
      <c r="C549" s="1640"/>
      <c r="D549" s="355"/>
      <c r="J549" s="1645"/>
      <c r="K549" s="1645"/>
      <c r="L549" s="1645"/>
      <c r="M549" s="1645"/>
      <c r="N549" s="1645"/>
      <c r="O549" s="1645"/>
      <c r="Q549" s="1164"/>
      <c r="R549" s="1640"/>
      <c r="S549" s="1640"/>
      <c r="T549" s="1164"/>
      <c r="U549" s="1164"/>
      <c r="V549" s="1164"/>
      <c r="W549" s="1164"/>
      <c r="X549" s="1640"/>
      <c r="Y549" s="1164"/>
      <c r="Z549" s="1164"/>
      <c r="AA549" s="548"/>
      <c r="AB549" s="1164"/>
      <c r="AC549" s="1164"/>
      <c r="AD549" s="1164"/>
      <c r="AE549" s="1164"/>
      <c r="AF549" s="1164"/>
      <c r="AG549" s="1636"/>
      <c r="AH549" s="570"/>
      <c r="AI549" s="570"/>
      <c r="AJ549" s="570"/>
      <c r="AK549" s="570"/>
      <c r="AL549" s="1645">
        <v>11</v>
      </c>
    </row>
    <row s="1645" customFormat="1" customHeight="1" ht="11.549999999999999">
      <c r="A550" s="991"/>
      <c r="B550" s="1640"/>
      <c r="C550" s="1640"/>
      <c r="D550" s="355"/>
      <c r="J550" s="1645"/>
      <c r="K550" s="1645"/>
      <c r="L550" s="1645"/>
      <c r="M550" s="1645"/>
      <c r="N550" s="1645"/>
      <c r="O550" s="1645"/>
      <c r="Q550" s="1164"/>
      <c r="R550" s="1640"/>
      <c r="S550" s="1640"/>
      <c r="T550" s="1164"/>
      <c r="U550" s="1164"/>
      <c r="V550" s="1164"/>
      <c r="W550" s="1164"/>
      <c r="X550" s="1640"/>
      <c r="Y550" s="1164"/>
      <c r="Z550" s="1164"/>
      <c r="AA550" s="548"/>
      <c r="AB550" s="1164"/>
      <c r="AC550" s="1164"/>
      <c r="AD550" s="1164"/>
      <c r="AE550" s="1164"/>
      <c r="AF550" s="1164"/>
      <c r="AG550" s="1636"/>
      <c r="AH550" s="570"/>
      <c r="AI550" s="570"/>
      <c r="AJ550" s="570"/>
      <c r="AK550" s="570"/>
      <c r="AL550" s="1645">
        <v>11</v>
      </c>
    </row>
    <row s="1645" customFormat="1" customHeight="1" ht="11.549999999999999">
      <c r="A551" s="991"/>
      <c r="B551" s="1640"/>
      <c r="C551" s="1640"/>
      <c r="D551" s="355"/>
      <c r="J551" s="1645"/>
      <c r="K551" s="1645"/>
      <c r="L551" s="1645"/>
      <c r="M551" s="1645"/>
      <c r="N551" s="1645"/>
      <c r="O551" s="1645"/>
      <c r="Q551" s="1164"/>
      <c r="R551" s="1640"/>
      <c r="S551" s="1640"/>
      <c r="T551" s="1164"/>
      <c r="U551" s="1164"/>
      <c r="V551" s="1164"/>
      <c r="W551" s="1164"/>
      <c r="X551" s="1640"/>
      <c r="Y551" s="1164"/>
      <c r="Z551" s="1164"/>
      <c r="AA551" s="548"/>
      <c r="AB551" s="1164"/>
      <c r="AC551" s="1164"/>
      <c r="AD551" s="1164"/>
      <c r="AE551" s="1164"/>
      <c r="AF551" s="1164"/>
      <c r="AG551" s="1636"/>
      <c r="AH551" s="570"/>
      <c r="AI551" s="570"/>
      <c r="AJ551" s="570"/>
      <c r="AK551" s="570"/>
      <c r="AL551" s="1645">
        <v>11</v>
      </c>
    </row>
    <row s="1645" customFormat="1" customHeight="1" ht="11.549999999999999">
      <c r="A552" s="991"/>
      <c r="B552" s="1640"/>
      <c r="C552" s="1640"/>
      <c r="D552" s="355"/>
      <c r="J552" s="1645"/>
      <c r="K552" s="1645"/>
      <c r="L552" s="1645"/>
      <c r="M552" s="1645"/>
      <c r="N552" s="1645"/>
      <c r="O552" s="1645"/>
      <c r="Q552" s="1164"/>
      <c r="R552" s="1640"/>
      <c r="S552" s="1640"/>
      <c r="T552" s="1164"/>
      <c r="U552" s="1164"/>
      <c r="V552" s="1164"/>
      <c r="W552" s="1164"/>
      <c r="X552" s="1640"/>
      <c r="Y552" s="1164"/>
      <c r="Z552" s="1164"/>
      <c r="AA552" s="548"/>
      <c r="AB552" s="1164"/>
      <c r="AC552" s="1164"/>
      <c r="AD552" s="1164"/>
      <c r="AE552" s="1164"/>
      <c r="AF552" s="1164"/>
      <c r="AG552" s="1636"/>
      <c r="AH552" s="570"/>
      <c r="AI552" s="570"/>
      <c r="AJ552" s="570"/>
      <c r="AK552" s="570"/>
      <c r="AL552" s="1645">
        <v>11</v>
      </c>
    </row>
    <row s="1645" customFormat="1" customHeight="1" ht="11.549999999999999">
      <c r="A553" s="991"/>
      <c r="B553" s="1640"/>
      <c r="C553" s="1640"/>
      <c r="D553" s="355"/>
      <c r="J553" s="1645"/>
      <c r="K553" s="1645"/>
      <c r="L553" s="1645"/>
      <c r="M553" s="1645"/>
      <c r="N553" s="1645"/>
      <c r="O553" s="1645"/>
      <c r="Q553" s="1164"/>
      <c r="R553" s="1640"/>
      <c r="S553" s="1640"/>
      <c r="T553" s="1164"/>
      <c r="U553" s="1164"/>
      <c r="V553" s="1164"/>
      <c r="W553" s="1164"/>
      <c r="X553" s="1640"/>
      <c r="Y553" s="1164"/>
      <c r="Z553" s="1164"/>
      <c r="AA553" s="548"/>
      <c r="AB553" s="1164"/>
      <c r="AC553" s="1164"/>
      <c r="AD553" s="1164"/>
      <c r="AE553" s="1164"/>
      <c r="AF553" s="1164"/>
      <c r="AG553" s="1636"/>
      <c r="AH553" s="570"/>
      <c r="AI553" s="570"/>
      <c r="AJ553" s="570"/>
      <c r="AK553" s="570"/>
      <c r="AL553" s="1645">
        <v>11</v>
      </c>
    </row>
    <row s="1645" customFormat="1" customHeight="1" ht="11.549999999999999">
      <c r="A554" s="991"/>
      <c r="B554" s="1640"/>
      <c r="C554" s="1640"/>
      <c r="D554" s="355"/>
      <c r="J554" s="1645"/>
      <c r="K554" s="1645"/>
      <c r="L554" s="1645"/>
      <c r="M554" s="1645"/>
      <c r="N554" s="1645"/>
      <c r="O554" s="1645"/>
      <c r="Q554" s="1164"/>
      <c r="R554" s="1640"/>
      <c r="S554" s="1640"/>
      <c r="T554" s="1164"/>
      <c r="U554" s="1164"/>
      <c r="V554" s="1164"/>
      <c r="W554" s="1164"/>
      <c r="X554" s="1640"/>
      <c r="Y554" s="1164"/>
      <c r="Z554" s="1164"/>
      <c r="AA554" s="548"/>
      <c r="AB554" s="1164"/>
      <c r="AC554" s="1164"/>
      <c r="AD554" s="1164"/>
      <c r="AE554" s="1164"/>
      <c r="AF554" s="1164"/>
      <c r="AG554" s="1636"/>
      <c r="AH554" s="570"/>
      <c r="AI554" s="570"/>
      <c r="AJ554" s="570"/>
      <c r="AK554" s="570"/>
      <c r="AL554" s="1645">
        <v>11</v>
      </c>
    </row>
    <row s="1645" customFormat="1" customHeight="1" ht="11.549999999999999">
      <c r="A555" s="991"/>
      <c r="B555" s="1640"/>
      <c r="C555" s="1640"/>
      <c r="D555" s="355"/>
      <c r="J555" s="1645"/>
      <c r="K555" s="1645"/>
      <c r="L555" s="1645"/>
      <c r="M555" s="1645"/>
      <c r="N555" s="1645"/>
      <c r="O555" s="1645"/>
      <c r="Q555" s="1164"/>
      <c r="R555" s="1640"/>
      <c r="S555" s="1640"/>
      <c r="T555" s="1164"/>
      <c r="U555" s="1164"/>
      <c r="V555" s="1164"/>
      <c r="W555" s="1164"/>
      <c r="X555" s="1640"/>
      <c r="Y555" s="1164"/>
      <c r="Z555" s="1164"/>
      <c r="AA555" s="548"/>
      <c r="AB555" s="1164"/>
      <c r="AC555" s="1164"/>
      <c r="AD555" s="1164"/>
      <c r="AE555" s="1164"/>
      <c r="AF555" s="1164"/>
      <c r="AG555" s="1636"/>
      <c r="AH555" s="570"/>
      <c r="AI555" s="570"/>
      <c r="AJ555" s="570"/>
      <c r="AK555" s="570"/>
      <c r="AL555" s="1645">
        <v>11</v>
      </c>
    </row>
    <row s="1645" customFormat="1" customHeight="1" ht="11.549999999999999">
      <c r="A556" s="991"/>
      <c r="B556" s="1640"/>
      <c r="C556" s="1640"/>
      <c r="D556" s="355"/>
      <c r="J556" s="1645"/>
      <c r="K556" s="1645"/>
      <c r="L556" s="1645"/>
      <c r="M556" s="1645"/>
      <c r="N556" s="1645"/>
      <c r="O556" s="1645"/>
      <c r="Q556" s="1164"/>
      <c r="R556" s="1640"/>
      <c r="S556" s="1640"/>
      <c r="T556" s="1164"/>
      <c r="U556" s="1164"/>
      <c r="V556" s="1164"/>
      <c r="W556" s="1164"/>
      <c r="X556" s="1640"/>
      <c r="Y556" s="1164"/>
      <c r="Z556" s="1164"/>
      <c r="AA556" s="548"/>
      <c r="AB556" s="1164"/>
      <c r="AC556" s="1164"/>
      <c r="AD556" s="1164"/>
      <c r="AE556" s="1164"/>
      <c r="AF556" s="1164"/>
      <c r="AG556" s="1636"/>
      <c r="AH556" s="570"/>
      <c r="AI556" s="570"/>
      <c r="AJ556" s="570"/>
      <c r="AK556" s="570"/>
      <c r="AL556" s="1645">
        <v>11</v>
      </c>
    </row>
    <row s="1645" customFormat="1" customHeight="1" ht="11.549999999999999">
      <c r="A557" s="991"/>
      <c r="B557" s="1640"/>
      <c r="C557" s="1640"/>
      <c r="D557" s="355"/>
      <c r="J557" s="1645"/>
      <c r="K557" s="1645"/>
      <c r="L557" s="1645"/>
      <c r="M557" s="1645"/>
      <c r="N557" s="1645"/>
      <c r="O557" s="1645"/>
      <c r="Q557" s="1164"/>
      <c r="R557" s="1640"/>
      <c r="S557" s="1640"/>
      <c r="T557" s="1164"/>
      <c r="U557" s="1164"/>
      <c r="V557" s="1164"/>
      <c r="W557" s="1164"/>
      <c r="X557" s="1640"/>
      <c r="Y557" s="1164"/>
      <c r="Z557" s="1164"/>
      <c r="AA557" s="548"/>
      <c r="AB557" s="1164"/>
      <c r="AC557" s="1164"/>
      <c r="AD557" s="1164"/>
      <c r="AE557" s="1164"/>
      <c r="AF557" s="1164"/>
      <c r="AG557" s="1636"/>
      <c r="AH557" s="570"/>
      <c r="AI557" s="570"/>
      <c r="AJ557" s="570"/>
      <c r="AK557" s="570"/>
      <c r="AL557" s="1645">
        <v>11</v>
      </c>
    </row>
    <row s="1645" customFormat="1" customHeight="1" ht="11.549999999999999">
      <c r="A558" s="991"/>
      <c r="B558" s="1640"/>
      <c r="C558" s="1640"/>
      <c r="D558" s="355"/>
      <c r="J558" s="1645"/>
      <c r="K558" s="1645"/>
      <c r="L558" s="1645"/>
      <c r="M558" s="1645"/>
      <c r="N558" s="1645"/>
      <c r="O558" s="1645"/>
      <c r="Q558" s="1164"/>
      <c r="R558" s="1640"/>
      <c r="S558" s="1640"/>
      <c r="T558" s="1164"/>
      <c r="U558" s="1164"/>
      <c r="V558" s="1164"/>
      <c r="W558" s="1164"/>
      <c r="X558" s="1640"/>
      <c r="Y558" s="1164"/>
      <c r="Z558" s="1164"/>
      <c r="AA558" s="548"/>
      <c r="AB558" s="1164"/>
      <c r="AC558" s="1164"/>
      <c r="AD558" s="1164"/>
      <c r="AE558" s="1164"/>
      <c r="AF558" s="1164"/>
      <c r="AG558" s="1636"/>
      <c r="AH558" s="570"/>
      <c r="AI558" s="570"/>
      <c r="AJ558" s="570"/>
      <c r="AK558" s="570"/>
      <c r="AL558" s="1645">
        <v>11</v>
      </c>
    </row>
    <row s="1645" customFormat="1" customHeight="1" ht="11.549999999999999">
      <c r="A559" s="991"/>
      <c r="B559" s="1640"/>
      <c r="C559" s="1640"/>
      <c r="D559" s="355"/>
      <c r="J559" s="1645"/>
      <c r="K559" s="1645"/>
      <c r="L559" s="1645"/>
      <c r="M559" s="1645"/>
      <c r="N559" s="1645"/>
      <c r="O559" s="1645"/>
      <c r="Q559" s="1164"/>
      <c r="R559" s="1640"/>
      <c r="S559" s="1640"/>
      <c r="T559" s="1164"/>
      <c r="U559" s="1164"/>
      <c r="V559" s="1164"/>
      <c r="W559" s="1164"/>
      <c r="X559" s="1640"/>
      <c r="Y559" s="1164"/>
      <c r="Z559" s="1164"/>
      <c r="AA559" s="548"/>
      <c r="AB559" s="1164"/>
      <c r="AC559" s="1164"/>
      <c r="AD559" s="1164"/>
      <c r="AE559" s="1164"/>
      <c r="AF559" s="1164"/>
      <c r="AG559" s="1636"/>
      <c r="AH559" s="570"/>
      <c r="AI559" s="570"/>
      <c r="AJ559" s="570"/>
      <c r="AK559" s="570"/>
      <c r="AL559" s="1645">
        <v>11</v>
      </c>
    </row>
    <row s="1645" customFormat="1" customHeight="1" ht="11.549999999999999">
      <c r="A560" s="991"/>
      <c r="B560" s="1640"/>
      <c r="C560" s="1640"/>
      <c r="D560" s="355"/>
      <c r="J560" s="1645"/>
      <c r="K560" s="1645"/>
      <c r="L560" s="1645"/>
      <c r="M560" s="1645"/>
      <c r="N560" s="1645"/>
      <c r="O560" s="1645"/>
      <c r="Q560" s="1164"/>
      <c r="R560" s="1640"/>
      <c r="S560" s="1640"/>
      <c r="T560" s="1164"/>
      <c r="U560" s="1164"/>
      <c r="V560" s="1164"/>
      <c r="W560" s="1164"/>
      <c r="X560" s="1640"/>
      <c r="Y560" s="1164"/>
      <c r="Z560" s="1164"/>
      <c r="AA560" s="548"/>
      <c r="AB560" s="1164"/>
      <c r="AC560" s="1164"/>
      <c r="AD560" s="1164"/>
      <c r="AE560" s="1164"/>
      <c r="AF560" s="1164"/>
      <c r="AG560" s="1636"/>
      <c r="AH560" s="570"/>
      <c r="AI560" s="570"/>
      <c r="AJ560" s="570"/>
      <c r="AK560" s="570"/>
      <c r="AL560" s="1645">
        <v>11</v>
      </c>
    </row>
    <row s="1645" customFormat="1" customHeight="1" ht="11.549999999999999">
      <c r="A561" s="991"/>
      <c r="B561" s="1640"/>
      <c r="C561" s="1640"/>
      <c r="D561" s="355"/>
      <c r="J561" s="1645"/>
      <c r="K561" s="1645"/>
      <c r="L561" s="1645"/>
      <c r="M561" s="1645"/>
      <c r="N561" s="1645"/>
      <c r="O561" s="1645"/>
      <c r="Q561" s="1164"/>
      <c r="R561" s="1640"/>
      <c r="S561" s="1640"/>
      <c r="T561" s="1164"/>
      <c r="U561" s="1164"/>
      <c r="V561" s="1164"/>
      <c r="W561" s="1164"/>
      <c r="X561" s="1640"/>
      <c r="Y561" s="1164"/>
      <c r="Z561" s="1164"/>
      <c r="AA561" s="548"/>
      <c r="AB561" s="1164"/>
      <c r="AC561" s="1164"/>
      <c r="AD561" s="1164"/>
      <c r="AE561" s="1164"/>
      <c r="AF561" s="1164"/>
      <c r="AG561" s="1636"/>
      <c r="AH561" s="570"/>
      <c r="AI561" s="570"/>
      <c r="AJ561" s="570"/>
      <c r="AK561" s="570"/>
      <c r="AL561" s="1645">
        <v>11</v>
      </c>
    </row>
    <row s="1645" customFormat="1" customHeight="1" ht="11.549999999999999">
      <c r="A562" s="991"/>
      <c r="B562" s="1640"/>
      <c r="C562" s="1640"/>
      <c r="D562" s="355"/>
      <c r="J562" s="1645"/>
      <c r="K562" s="1645"/>
      <c r="L562" s="1645"/>
      <c r="M562" s="1645"/>
      <c r="N562" s="1645"/>
      <c r="O562" s="1645"/>
      <c r="Q562" s="1164"/>
      <c r="R562" s="1640"/>
      <c r="S562" s="1640"/>
      <c r="T562" s="1164"/>
      <c r="U562" s="1164"/>
      <c r="V562" s="1164"/>
      <c r="W562" s="1164"/>
      <c r="X562" s="1640"/>
      <c r="Y562" s="1164"/>
      <c r="Z562" s="1164"/>
      <c r="AA562" s="548"/>
      <c r="AB562" s="1164"/>
      <c r="AC562" s="1164"/>
      <c r="AD562" s="1164"/>
      <c r="AE562" s="1164"/>
      <c r="AF562" s="1164"/>
      <c r="AG562" s="1636"/>
      <c r="AH562" s="570"/>
      <c r="AI562" s="570"/>
      <c r="AJ562" s="570"/>
      <c r="AK562" s="570"/>
      <c r="AL562" s="1645">
        <v>11</v>
      </c>
    </row>
    <row s="1645" customFormat="1" customHeight="1" ht="11.549999999999999">
      <c r="A563" s="991"/>
      <c r="B563" s="1640"/>
      <c r="C563" s="1640"/>
      <c r="D563" s="355"/>
      <c r="J563" s="1645"/>
      <c r="K563" s="1645"/>
      <c r="L563" s="1645"/>
      <c r="M563" s="1645"/>
      <c r="N563" s="1645"/>
      <c r="O563" s="1645"/>
      <c r="Q563" s="1164"/>
      <c r="R563" s="1640"/>
      <c r="S563" s="1640"/>
      <c r="T563" s="1164"/>
      <c r="U563" s="1164"/>
      <c r="V563" s="1164"/>
      <c r="W563" s="1164"/>
      <c r="X563" s="1640"/>
      <c r="Y563" s="1164"/>
      <c r="Z563" s="1164"/>
      <c r="AA563" s="548"/>
      <c r="AB563" s="1164"/>
      <c r="AC563" s="1164"/>
      <c r="AD563" s="1164"/>
      <c r="AE563" s="1164"/>
      <c r="AF563" s="1164"/>
      <c r="AG563" s="1636"/>
      <c r="AH563" s="570"/>
      <c r="AI563" s="570"/>
      <c r="AJ563" s="570"/>
      <c r="AK563" s="570"/>
      <c r="AL563" s="1645">
        <v>11</v>
      </c>
    </row>
    <row s="1645" customFormat="1" customHeight="1" ht="11.549999999999999">
      <c r="A564" s="991"/>
      <c r="B564" s="1640"/>
      <c r="C564" s="1640"/>
      <c r="D564" s="355"/>
      <c r="J564" s="1645"/>
      <c r="K564" s="1645"/>
      <c r="L564" s="1645"/>
      <c r="M564" s="1645"/>
      <c r="N564" s="1645"/>
      <c r="O564" s="1645"/>
      <c r="Q564" s="1164"/>
      <c r="R564" s="1640"/>
      <c r="S564" s="1640"/>
      <c r="T564" s="1164"/>
      <c r="U564" s="1164"/>
      <c r="V564" s="1164"/>
      <c r="W564" s="1164"/>
      <c r="X564" s="1640"/>
      <c r="Y564" s="1164"/>
      <c r="Z564" s="1164"/>
      <c r="AA564" s="548"/>
      <c r="AB564" s="1164"/>
      <c r="AC564" s="1164"/>
      <c r="AD564" s="1164"/>
      <c r="AE564" s="1164"/>
      <c r="AF564" s="1164"/>
      <c r="AG564" s="1636"/>
      <c r="AH564" s="570"/>
      <c r="AI564" s="570"/>
      <c r="AJ564" s="570"/>
      <c r="AK564" s="570"/>
      <c r="AL564" s="1645">
        <v>11</v>
      </c>
    </row>
    <row s="1645" customFormat="1" customHeight="1" ht="11.549999999999999">
      <c r="A565" s="991"/>
      <c r="B565" s="1640"/>
      <c r="C565" s="1640"/>
      <c r="D565" s="355"/>
      <c r="J565" s="1645"/>
      <c r="K565" s="1645"/>
      <c r="L565" s="1645"/>
      <c r="M565" s="1645"/>
      <c r="N565" s="1645"/>
      <c r="O565" s="1645"/>
      <c r="Q565" s="1164"/>
      <c r="R565" s="1640"/>
      <c r="S565" s="1640"/>
      <c r="T565" s="1164"/>
      <c r="U565" s="1164"/>
      <c r="V565" s="1164"/>
      <c r="W565" s="1164"/>
      <c r="X565" s="1640"/>
      <c r="Y565" s="1164"/>
      <c r="Z565" s="1164"/>
      <c r="AA565" s="548"/>
      <c r="AB565" s="1164"/>
      <c r="AC565" s="1164"/>
      <c r="AD565" s="1164"/>
      <c r="AE565" s="1164"/>
      <c r="AF565" s="1164"/>
      <c r="AG565" s="1636"/>
      <c r="AH565" s="570"/>
      <c r="AI565" s="570"/>
      <c r="AJ565" s="570"/>
      <c r="AK565" s="570"/>
      <c r="AL565" s="1645">
        <v>11</v>
      </c>
    </row>
    <row s="1645" customFormat="1" customHeight="1" ht="11.549999999999999">
      <c r="A566" s="991"/>
      <c r="B566" s="1640"/>
      <c r="C566" s="1640"/>
      <c r="D566" s="355"/>
      <c r="J566" s="1645"/>
      <c r="K566" s="1645"/>
      <c r="L566" s="1645"/>
      <c r="M566" s="1645"/>
      <c r="N566" s="1645"/>
      <c r="O566" s="1645"/>
      <c r="Q566" s="1164"/>
      <c r="R566" s="1640"/>
      <c r="S566" s="1640"/>
      <c r="T566" s="1164"/>
      <c r="U566" s="1164"/>
      <c r="V566" s="1164"/>
      <c r="W566" s="1164"/>
      <c r="X566" s="1640"/>
      <c r="Y566" s="1164"/>
      <c r="Z566" s="1164"/>
      <c r="AA566" s="548"/>
      <c r="AB566" s="1164"/>
      <c r="AC566" s="1164"/>
      <c r="AD566" s="1164"/>
      <c r="AE566" s="1164"/>
      <c r="AF566" s="1164"/>
      <c r="AG566" s="1636"/>
      <c r="AH566" s="570"/>
      <c r="AI566" s="570"/>
      <c r="AJ566" s="570"/>
      <c r="AK566" s="570"/>
      <c r="AL566" s="1645">
        <v>11</v>
      </c>
    </row>
    <row s="1645" customFormat="1" customHeight="1" ht="11.549999999999999">
      <c r="A567" s="991"/>
      <c r="B567" s="1640"/>
      <c r="C567" s="1640"/>
      <c r="D567" s="355"/>
      <c r="J567" s="1645"/>
      <c r="K567" s="1645"/>
      <c r="L567" s="1645"/>
      <c r="M567" s="1645"/>
      <c r="N567" s="1645"/>
      <c r="O567" s="1645"/>
      <c r="Q567" s="1164"/>
      <c r="R567" s="1640"/>
      <c r="S567" s="1640"/>
      <c r="T567" s="1164"/>
      <c r="U567" s="1164"/>
      <c r="V567" s="1164"/>
      <c r="W567" s="1164"/>
      <c r="X567" s="1640"/>
      <c r="Y567" s="1164"/>
      <c r="Z567" s="1164"/>
      <c r="AA567" s="548"/>
      <c r="AB567" s="1164"/>
      <c r="AC567" s="1164"/>
      <c r="AD567" s="1164"/>
      <c r="AE567" s="1164"/>
      <c r="AF567" s="1164"/>
      <c r="AG567" s="1636"/>
      <c r="AH567" s="570"/>
      <c r="AI567" s="570"/>
      <c r="AJ567" s="570"/>
      <c r="AK567" s="570"/>
      <c r="AL567" s="1645">
        <v>11</v>
      </c>
    </row>
    <row s="1645" customFormat="1" customHeight="1" ht="11.549999999999999">
      <c r="A568" s="991"/>
      <c r="B568" s="1640"/>
      <c r="C568" s="1640"/>
      <c r="D568" s="355"/>
      <c r="J568" s="1645"/>
      <c r="K568" s="1645"/>
      <c r="L568" s="1645"/>
      <c r="M568" s="1645"/>
      <c r="N568" s="1645"/>
      <c r="O568" s="1645"/>
      <c r="Q568" s="1164"/>
      <c r="R568" s="1640"/>
      <c r="S568" s="1640"/>
      <c r="T568" s="1164"/>
      <c r="U568" s="1164"/>
      <c r="V568" s="1164"/>
      <c r="W568" s="1164"/>
      <c r="X568" s="1640"/>
      <c r="Y568" s="1164"/>
      <c r="Z568" s="1164"/>
      <c r="AA568" s="548"/>
      <c r="AB568" s="1164"/>
      <c r="AC568" s="1164"/>
      <c r="AD568" s="1164"/>
      <c r="AE568" s="1164"/>
      <c r="AF568" s="1164"/>
      <c r="AG568" s="1636"/>
      <c r="AH568" s="570"/>
      <c r="AI568" s="570"/>
      <c r="AJ568" s="570"/>
      <c r="AK568" s="570"/>
      <c r="AL568" s="1645">
        <v>11</v>
      </c>
    </row>
    <row s="1645" customFormat="1" customHeight="1" ht="11.549999999999999">
      <c r="A569" s="991"/>
      <c r="B569" s="1640"/>
      <c r="C569" s="1640"/>
      <c r="D569" s="355"/>
      <c r="J569" s="1645"/>
      <c r="K569" s="1645"/>
      <c r="L569" s="1645"/>
      <c r="M569" s="1645"/>
      <c r="N569" s="1645"/>
      <c r="O569" s="1645"/>
      <c r="Q569" s="1164"/>
      <c r="R569" s="1640"/>
      <c r="S569" s="1640"/>
      <c r="T569" s="1164"/>
      <c r="U569" s="1164"/>
      <c r="V569" s="1164"/>
      <c r="W569" s="1164"/>
      <c r="X569" s="1640"/>
      <c r="Y569" s="1164"/>
      <c r="Z569" s="1164"/>
      <c r="AA569" s="548"/>
      <c r="AB569" s="1164"/>
      <c r="AC569" s="1164"/>
      <c r="AD569" s="1164"/>
      <c r="AE569" s="1164"/>
      <c r="AF569" s="1164"/>
      <c r="AG569" s="1636"/>
      <c r="AH569" s="570"/>
      <c r="AI569" s="570"/>
      <c r="AJ569" s="570"/>
      <c r="AK569" s="570"/>
      <c r="AL569" s="1645">
        <v>11</v>
      </c>
    </row>
    <row s="1645" customFormat="1" customHeight="1" ht="11.549999999999999">
      <c r="A570" s="991"/>
      <c r="B570" s="1640"/>
      <c r="C570" s="1640"/>
      <c r="D570" s="355"/>
      <c r="J570" s="1645"/>
      <c r="K570" s="1645"/>
      <c r="L570" s="1645"/>
      <c r="M570" s="1645"/>
      <c r="N570" s="1645"/>
      <c r="O570" s="1645"/>
      <c r="Q570" s="1164"/>
      <c r="R570" s="1640"/>
      <c r="S570" s="1640"/>
      <c r="T570" s="1164"/>
      <c r="U570" s="1164"/>
      <c r="V570" s="1164"/>
      <c r="W570" s="1164"/>
      <c r="X570" s="1640"/>
      <c r="Y570" s="1164"/>
      <c r="Z570" s="1164"/>
      <c r="AA570" s="548"/>
      <c r="AB570" s="1164"/>
      <c r="AC570" s="1164"/>
      <c r="AD570" s="1164"/>
      <c r="AE570" s="1164"/>
      <c r="AF570" s="1164"/>
      <c r="AG570" s="1636"/>
      <c r="AH570" s="570"/>
      <c r="AI570" s="570"/>
      <c r="AJ570" s="570"/>
      <c r="AK570" s="570"/>
      <c r="AL570" s="1645">
        <v>11</v>
      </c>
    </row>
    <row s="1645" customFormat="1" customHeight="1" ht="11.549999999999999">
      <c r="A571" s="991"/>
      <c r="B571" s="1640"/>
      <c r="C571" s="1640"/>
      <c r="D571" s="355"/>
      <c r="J571" s="1645"/>
      <c r="K571" s="1645"/>
      <c r="L571" s="1645"/>
      <c r="M571" s="1645"/>
      <c r="N571" s="1645"/>
      <c r="O571" s="1645"/>
      <c r="Q571" s="1164"/>
      <c r="R571" s="1640"/>
      <c r="S571" s="1640"/>
      <c r="T571" s="1164"/>
      <c r="U571" s="1164"/>
      <c r="V571" s="1164"/>
      <c r="W571" s="1164"/>
      <c r="X571" s="1640"/>
      <c r="Y571" s="1164"/>
      <c r="Z571" s="1164"/>
      <c r="AA571" s="548"/>
      <c r="AB571" s="1164"/>
      <c r="AC571" s="1164"/>
      <c r="AD571" s="1164"/>
      <c r="AE571" s="1164"/>
      <c r="AF571" s="1164"/>
      <c r="AG571" s="1636"/>
      <c r="AH571" s="570"/>
      <c r="AI571" s="570"/>
      <c r="AJ571" s="570"/>
      <c r="AK571" s="570"/>
      <c r="AL571" s="1645">
        <v>11</v>
      </c>
    </row>
    <row s="1645" customFormat="1" customHeight="1" ht="11.549999999999999">
      <c r="A572" s="991"/>
      <c r="B572" s="1640"/>
      <c r="C572" s="1640"/>
      <c r="D572" s="355"/>
      <c r="J572" s="1645"/>
      <c r="K572" s="1645"/>
      <c r="L572" s="1645"/>
      <c r="M572" s="1645"/>
      <c r="N572" s="1645"/>
      <c r="O572" s="1645"/>
      <c r="Q572" s="1164"/>
      <c r="R572" s="1640"/>
      <c r="S572" s="1640"/>
      <c r="T572" s="1164"/>
      <c r="U572" s="1164"/>
      <c r="V572" s="1164"/>
      <c r="W572" s="1164"/>
      <c r="X572" s="1640"/>
      <c r="Y572" s="1164"/>
      <c r="Z572" s="1164"/>
      <c r="AA572" s="548"/>
      <c r="AB572" s="1164"/>
      <c r="AC572" s="1164"/>
      <c r="AD572" s="1164"/>
      <c r="AE572" s="1164"/>
      <c r="AF572" s="1164"/>
      <c r="AG572" s="1636"/>
      <c r="AH572" s="570"/>
      <c r="AI572" s="570"/>
      <c r="AJ572" s="570"/>
      <c r="AK572" s="570"/>
      <c r="AL572" s="1645">
        <v>11</v>
      </c>
    </row>
    <row s="1645" customFormat="1" customHeight="1" ht="11.549999999999999">
      <c r="A573" s="991"/>
      <c r="B573" s="1640"/>
      <c r="C573" s="1640"/>
      <c r="D573" s="355"/>
      <c r="J573" s="1645"/>
      <c r="K573" s="1645"/>
      <c r="L573" s="1645"/>
      <c r="M573" s="1645"/>
      <c r="N573" s="1645"/>
      <c r="O573" s="1645"/>
      <c r="Q573" s="1164"/>
      <c r="R573" s="1640"/>
      <c r="S573" s="1640"/>
      <c r="T573" s="1164"/>
      <c r="U573" s="1164"/>
      <c r="V573" s="1164"/>
      <c r="W573" s="1164"/>
      <c r="X573" s="1640"/>
      <c r="Y573" s="1164"/>
      <c r="Z573" s="1164"/>
      <c r="AA573" s="548"/>
      <c r="AB573" s="1164"/>
      <c r="AC573" s="1164"/>
      <c r="AD573" s="1164"/>
      <c r="AE573" s="1164"/>
      <c r="AF573" s="1164"/>
      <c r="AG573" s="1636"/>
      <c r="AH573" s="570"/>
      <c r="AI573" s="570"/>
      <c r="AJ573" s="570"/>
      <c r="AK573" s="570"/>
      <c r="AL573" s="1645">
        <v>11</v>
      </c>
    </row>
    <row s="1645" customFormat="1" customHeight="1" ht="11.549999999999999">
      <c r="A574" s="991"/>
      <c r="B574" s="1640"/>
      <c r="C574" s="1640"/>
      <c r="D574" s="355"/>
      <c r="J574" s="1645"/>
      <c r="K574" s="1645"/>
      <c r="L574" s="1645"/>
      <c r="M574" s="1645"/>
      <c r="N574" s="1645"/>
      <c r="O574" s="1645"/>
      <c r="Q574" s="1164"/>
      <c r="R574" s="1640"/>
      <c r="S574" s="1640"/>
      <c r="T574" s="1164"/>
      <c r="U574" s="1164"/>
      <c r="V574" s="1164"/>
      <c r="W574" s="1164"/>
      <c r="X574" s="1640"/>
      <c r="Y574" s="1164"/>
      <c r="Z574" s="1164"/>
      <c r="AA574" s="548"/>
      <c r="AB574" s="1164"/>
      <c r="AC574" s="1164"/>
      <c r="AD574" s="1164"/>
      <c r="AE574" s="1164"/>
      <c r="AF574" s="1164"/>
      <c r="AG574" s="1636"/>
      <c r="AH574" s="570"/>
      <c r="AI574" s="570"/>
      <c r="AJ574" s="570"/>
      <c r="AK574" s="570"/>
      <c r="AL574" s="1645">
        <v>11</v>
      </c>
    </row>
    <row s="1645" customFormat="1" customHeight="1" ht="11.549999999999999">
      <c r="A575" s="991"/>
      <c r="B575" s="1640"/>
      <c r="C575" s="1640"/>
      <c r="D575" s="355"/>
      <c r="J575" s="1645"/>
      <c r="K575" s="1645"/>
      <c r="L575" s="1645"/>
      <c r="M575" s="1645"/>
      <c r="N575" s="1645"/>
      <c r="O575" s="1645"/>
      <c r="Q575" s="1164"/>
      <c r="R575" s="1640"/>
      <c r="S575" s="1640"/>
      <c r="T575" s="1164"/>
      <c r="U575" s="1164"/>
      <c r="V575" s="1164"/>
      <c r="W575" s="1164"/>
      <c r="X575" s="1640"/>
      <c r="Y575" s="1164"/>
      <c r="Z575" s="1164"/>
      <c r="AA575" s="548"/>
      <c r="AB575" s="1164"/>
      <c r="AC575" s="1164"/>
      <c r="AD575" s="1164"/>
      <c r="AE575" s="1164"/>
      <c r="AF575" s="1164"/>
      <c r="AG575" s="1636"/>
      <c r="AH575" s="570"/>
      <c r="AI575" s="570"/>
      <c r="AJ575" s="570"/>
      <c r="AK575" s="570"/>
      <c r="AL575" s="1645">
        <v>11</v>
      </c>
    </row>
    <row s="1645" customFormat="1" customHeight="1" ht="11.549999999999999">
      <c r="A576" s="991"/>
      <c r="B576" s="1640"/>
      <c r="C576" s="1640"/>
      <c r="D576" s="355"/>
      <c r="J576" s="1645"/>
      <c r="K576" s="1645"/>
      <c r="L576" s="1645"/>
      <c r="M576" s="1645"/>
      <c r="N576" s="1645"/>
      <c r="O576" s="1645"/>
      <c r="Q576" s="1164"/>
      <c r="R576" s="1640"/>
      <c r="S576" s="1640"/>
      <c r="T576" s="1164"/>
      <c r="U576" s="1164"/>
      <c r="V576" s="1164"/>
      <c r="W576" s="1164"/>
      <c r="X576" s="1640"/>
      <c r="Y576" s="1164"/>
      <c r="Z576" s="1164"/>
      <c r="AA576" s="548"/>
      <c r="AB576" s="1164"/>
      <c r="AC576" s="1164"/>
      <c r="AD576" s="1164"/>
      <c r="AE576" s="1164"/>
      <c r="AF576" s="1164"/>
      <c r="AG576" s="1636"/>
      <c r="AH576" s="570"/>
      <c r="AI576" s="570"/>
      <c r="AJ576" s="570"/>
      <c r="AK576" s="570"/>
      <c r="AL576" s="1645">
        <v>11</v>
      </c>
    </row>
    <row s="1645" customFormat="1" customHeight="1" ht="11.549999999999999">
      <c r="A577" s="991"/>
      <c r="B577" s="1640"/>
      <c r="C577" s="1640"/>
      <c r="D577" s="355"/>
      <c r="J577" s="1645"/>
      <c r="K577" s="1645"/>
      <c r="L577" s="1645"/>
      <c r="M577" s="1645"/>
      <c r="N577" s="1645"/>
      <c r="O577" s="1645"/>
      <c r="Q577" s="1164"/>
      <c r="R577" s="1640"/>
      <c r="S577" s="1640"/>
      <c r="T577" s="1164"/>
      <c r="U577" s="1164"/>
      <c r="V577" s="1164"/>
      <c r="W577" s="1164"/>
      <c r="X577" s="1640"/>
      <c r="Y577" s="1164"/>
      <c r="Z577" s="1164"/>
      <c r="AA577" s="548"/>
      <c r="AB577" s="1164"/>
      <c r="AC577" s="1164"/>
      <c r="AD577" s="1164"/>
      <c r="AE577" s="1164"/>
      <c r="AF577" s="1164"/>
      <c r="AG577" s="1636"/>
      <c r="AH577" s="570"/>
      <c r="AI577" s="570"/>
      <c r="AJ577" s="570"/>
      <c r="AK577" s="570"/>
      <c r="AL577" s="1645">
        <v>11</v>
      </c>
    </row>
    <row s="1645" customFormat="1" customHeight="1" ht="11.549999999999999">
      <c r="A578" s="991"/>
      <c r="B578" s="1640"/>
      <c r="C578" s="1640"/>
      <c r="D578" s="355"/>
      <c r="J578" s="1645"/>
      <c r="K578" s="1645"/>
      <c r="L578" s="1645"/>
      <c r="M578" s="1645"/>
      <c r="N578" s="1645"/>
      <c r="O578" s="1645"/>
      <c r="Q578" s="1164"/>
      <c r="R578" s="1640"/>
      <c r="S578" s="1640"/>
      <c r="T578" s="1164"/>
      <c r="U578" s="1164"/>
      <c r="V578" s="1164"/>
      <c r="W578" s="1164"/>
      <c r="X578" s="1640"/>
      <c r="Y578" s="1164"/>
      <c r="Z578" s="1164"/>
      <c r="AA578" s="548"/>
      <c r="AB578" s="1164"/>
      <c r="AC578" s="1164"/>
      <c r="AD578" s="1164"/>
      <c r="AE578" s="1164"/>
      <c r="AF578" s="1164"/>
      <c r="AG578" s="1636"/>
      <c r="AH578" s="570"/>
      <c r="AI578" s="570"/>
      <c r="AJ578" s="570"/>
      <c r="AK578" s="570"/>
      <c r="AL578" s="1645">
        <v>11</v>
      </c>
    </row>
    <row s="1645" customFormat="1" customHeight="1" ht="11.549999999999999">
      <c r="A579" s="991"/>
      <c r="B579" s="1640"/>
      <c r="C579" s="1640"/>
      <c r="D579" s="355"/>
      <c r="J579" s="1645"/>
      <c r="K579" s="1645"/>
      <c r="L579" s="1645"/>
      <c r="M579" s="1645"/>
      <c r="N579" s="1645"/>
      <c r="O579" s="1645"/>
      <c r="Q579" s="1164"/>
      <c r="R579" s="1640"/>
      <c r="S579" s="1640"/>
      <c r="T579" s="1164"/>
      <c r="U579" s="1164"/>
      <c r="V579" s="1164"/>
      <c r="W579" s="1164"/>
      <c r="X579" s="1640"/>
      <c r="Y579" s="1164"/>
      <c r="Z579" s="1164"/>
      <c r="AA579" s="548"/>
      <c r="AB579" s="1164"/>
      <c r="AC579" s="1164"/>
      <c r="AD579" s="1164"/>
      <c r="AE579" s="1164"/>
      <c r="AF579" s="1164"/>
      <c r="AG579" s="1636"/>
      <c r="AH579" s="570"/>
      <c r="AI579" s="570"/>
      <c r="AJ579" s="570"/>
      <c r="AK579" s="570"/>
      <c r="AL579" s="1645">
        <v>11</v>
      </c>
    </row>
    <row s="1645" customFormat="1" customHeight="1" ht="11.549999999999999">
      <c r="A580" s="991"/>
      <c r="B580" s="1640"/>
      <c r="C580" s="1640"/>
      <c r="D580" s="355"/>
      <c r="J580" s="1645"/>
      <c r="K580" s="1645"/>
      <c r="L580" s="1645"/>
      <c r="M580" s="1645"/>
      <c r="N580" s="1645"/>
      <c r="O580" s="1645"/>
      <c r="Q580" s="1164"/>
      <c r="R580" s="1640"/>
      <c r="S580" s="1640"/>
      <c r="T580" s="1164"/>
      <c r="U580" s="1164"/>
      <c r="V580" s="1164"/>
      <c r="W580" s="1164"/>
      <c r="X580" s="1640"/>
      <c r="Y580" s="1164"/>
      <c r="Z580" s="1164"/>
      <c r="AA580" s="548"/>
      <c r="AB580" s="1164"/>
      <c r="AC580" s="1164"/>
      <c r="AD580" s="1164"/>
      <c r="AE580" s="1164"/>
      <c r="AF580" s="1164"/>
      <c r="AG580" s="1636"/>
      <c r="AH580" s="570"/>
      <c r="AI580" s="570"/>
      <c r="AJ580" s="570"/>
      <c r="AK580" s="570"/>
      <c r="AL580" s="1645">
        <v>11</v>
      </c>
    </row>
    <row s="1645" customFormat="1" customHeight="1" ht="11.549999999999999">
      <c r="A581" s="991"/>
      <c r="B581" s="1640"/>
      <c r="C581" s="1640"/>
      <c r="D581" s="355"/>
      <c r="J581" s="1645"/>
      <c r="K581" s="1645"/>
      <c r="L581" s="1645"/>
      <c r="M581" s="1645"/>
      <c r="N581" s="1645"/>
      <c r="O581" s="1645"/>
      <c r="Q581" s="1164"/>
      <c r="R581" s="1640"/>
      <c r="S581" s="1640"/>
      <c r="T581" s="1164"/>
      <c r="U581" s="1164"/>
      <c r="V581" s="1164"/>
      <c r="W581" s="1164"/>
      <c r="X581" s="1640"/>
      <c r="Y581" s="1164"/>
      <c r="Z581" s="1164"/>
      <c r="AA581" s="548"/>
      <c r="AB581" s="1164"/>
      <c r="AC581" s="1164"/>
      <c r="AD581" s="1164"/>
      <c r="AE581" s="1164"/>
      <c r="AF581" s="1164"/>
      <c r="AG581" s="1636"/>
      <c r="AH581" s="570"/>
      <c r="AI581" s="570"/>
      <c r="AJ581" s="570"/>
      <c r="AK581" s="570"/>
      <c r="AL581" s="1645">
        <v>11</v>
      </c>
    </row>
    <row s="1645" customFormat="1" customHeight="1" ht="11.549999999999999">
      <c r="A582" s="991"/>
      <c r="B582" s="1640"/>
      <c r="C582" s="1640"/>
      <c r="D582" s="355"/>
      <c r="J582" s="1645"/>
      <c r="K582" s="1645"/>
      <c r="L582" s="1645"/>
      <c r="M582" s="1645"/>
      <c r="N582" s="1645"/>
      <c r="O582" s="1645"/>
      <c r="Q582" s="1164"/>
      <c r="R582" s="1640"/>
      <c r="S582" s="1640"/>
      <c r="T582" s="1164"/>
      <c r="U582" s="1164"/>
      <c r="V582" s="1164"/>
      <c r="W582" s="1164"/>
      <c r="X582" s="1640"/>
      <c r="Y582" s="1164"/>
      <c r="Z582" s="1164"/>
      <c r="AA582" s="548"/>
      <c r="AB582" s="1164"/>
      <c r="AC582" s="1164"/>
      <c r="AD582" s="1164"/>
      <c r="AE582" s="1164"/>
      <c r="AF582" s="1164"/>
      <c r="AG582" s="1636"/>
      <c r="AH582" s="570"/>
      <c r="AI582" s="570"/>
      <c r="AJ582" s="570"/>
      <c r="AK582" s="570"/>
      <c r="AL582" s="1645">
        <v>11</v>
      </c>
    </row>
    <row s="1645" customFormat="1" customHeight="1" ht="11.549999999999999">
      <c r="A583" s="991"/>
      <c r="B583" s="1640"/>
      <c r="C583" s="1640"/>
      <c r="D583" s="355"/>
      <c r="J583" s="1645"/>
      <c r="K583" s="1645"/>
      <c r="L583" s="1645"/>
      <c r="M583" s="1645"/>
      <c r="N583" s="1645"/>
      <c r="O583" s="1645"/>
      <c r="Q583" s="1164"/>
      <c r="R583" s="1640"/>
      <c r="S583" s="1640"/>
      <c r="T583" s="1164"/>
      <c r="U583" s="1164"/>
      <c r="V583" s="1164"/>
      <c r="W583" s="1164"/>
      <c r="X583" s="1640"/>
      <c r="Y583" s="1164"/>
      <c r="Z583" s="1164"/>
      <c r="AA583" s="548"/>
      <c r="AB583" s="1164"/>
      <c r="AC583" s="1164"/>
      <c r="AD583" s="1164"/>
      <c r="AE583" s="1164"/>
      <c r="AF583" s="1164"/>
      <c r="AG583" s="1636"/>
      <c r="AH583" s="570"/>
      <c r="AI583" s="570"/>
      <c r="AJ583" s="570"/>
      <c r="AK583" s="570"/>
      <c r="AL583" s="1645">
        <v>11</v>
      </c>
    </row>
    <row s="1645" customFormat="1" customHeight="1" ht="11.549999999999999">
      <c r="A584" s="991"/>
      <c r="B584" s="1640"/>
      <c r="C584" s="1640"/>
      <c r="D584" s="355"/>
      <c r="J584" s="1645"/>
      <c r="K584" s="1645"/>
      <c r="L584" s="1645"/>
      <c r="M584" s="1645"/>
      <c r="N584" s="1645"/>
      <c r="O584" s="1645"/>
      <c r="Q584" s="1164"/>
      <c r="R584" s="1640"/>
      <c r="S584" s="1640"/>
      <c r="T584" s="1164"/>
      <c r="U584" s="1164"/>
      <c r="V584" s="1164"/>
      <c r="W584" s="1164"/>
      <c r="X584" s="1640"/>
      <c r="Y584" s="1164"/>
      <c r="Z584" s="1164"/>
      <c r="AA584" s="548"/>
      <c r="AB584" s="1164"/>
      <c r="AC584" s="1164"/>
      <c r="AD584" s="1164"/>
      <c r="AE584" s="1164"/>
      <c r="AF584" s="1164"/>
      <c r="AG584" s="1636"/>
      <c r="AH584" s="570"/>
      <c r="AI584" s="570"/>
      <c r="AJ584" s="570"/>
      <c r="AK584" s="570"/>
      <c r="AL584" s="1645">
        <v>11</v>
      </c>
    </row>
    <row s="1645" customFormat="1" customHeight="1" ht="11.549999999999999">
      <c r="A585" s="991"/>
      <c r="B585" s="1640"/>
      <c r="C585" s="1640"/>
      <c r="D585" s="355"/>
      <c r="J585" s="1645"/>
      <c r="K585" s="1645"/>
      <c r="L585" s="1645"/>
      <c r="M585" s="1645"/>
      <c r="N585" s="1645"/>
      <c r="O585" s="1645"/>
      <c r="Q585" s="1164"/>
      <c r="R585" s="1640"/>
      <c r="S585" s="1640"/>
      <c r="T585" s="1164"/>
      <c r="U585" s="1164"/>
      <c r="V585" s="1164"/>
      <c r="W585" s="1164"/>
      <c r="X585" s="1640"/>
      <c r="Y585" s="1164"/>
      <c r="Z585" s="1164"/>
      <c r="AA585" s="548"/>
      <c r="AB585" s="1164"/>
      <c r="AC585" s="1164"/>
      <c r="AD585" s="1164"/>
      <c r="AE585" s="1164"/>
      <c r="AF585" s="1164"/>
      <c r="AG585" s="1636"/>
      <c r="AH585" s="570"/>
      <c r="AI585" s="570"/>
      <c r="AJ585" s="570"/>
      <c r="AK585" s="570"/>
      <c r="AL585" s="1645">
        <v>11</v>
      </c>
    </row>
    <row s="1645" customFormat="1" customHeight="1" ht="11.549999999999999">
      <c r="A586" s="991"/>
      <c r="B586" s="1640"/>
      <c r="C586" s="1640"/>
      <c r="D586" s="355"/>
      <c r="J586" s="1645"/>
      <c r="K586" s="1645"/>
      <c r="L586" s="1645"/>
      <c r="M586" s="1645"/>
      <c r="N586" s="1645"/>
      <c r="O586" s="1645"/>
      <c r="Q586" s="1164"/>
      <c r="R586" s="1640"/>
      <c r="S586" s="1640"/>
      <c r="T586" s="1164"/>
      <c r="U586" s="1164"/>
      <c r="V586" s="1164"/>
      <c r="W586" s="1164"/>
      <c r="X586" s="1640"/>
      <c r="Y586" s="1164"/>
      <c r="Z586" s="1164"/>
      <c r="AA586" s="548"/>
      <c r="AB586" s="1164"/>
      <c r="AC586" s="1164"/>
      <c r="AD586" s="1164"/>
      <c r="AE586" s="1164"/>
      <c r="AF586" s="1164"/>
      <c r="AG586" s="1636"/>
      <c r="AH586" s="570"/>
      <c r="AI586" s="570"/>
      <c r="AJ586" s="570"/>
      <c r="AK586" s="570"/>
      <c r="AL586" s="1645">
        <v>11</v>
      </c>
    </row>
    <row s="1645" customFormat="1" customHeight="1" ht="11.549999999999999">
      <c r="A587" s="991"/>
      <c r="B587" s="1640"/>
      <c r="C587" s="1640"/>
      <c r="D587" s="355"/>
      <c r="J587" s="1645"/>
      <c r="K587" s="1645"/>
      <c r="L587" s="1645"/>
      <c r="M587" s="1645"/>
      <c r="N587" s="1645"/>
      <c r="O587" s="1645"/>
      <c r="Q587" s="1164"/>
      <c r="R587" s="1640"/>
      <c r="S587" s="1640"/>
      <c r="T587" s="1164"/>
      <c r="U587" s="1164"/>
      <c r="V587" s="1164"/>
      <c r="W587" s="1164"/>
      <c r="X587" s="1640"/>
      <c r="Y587" s="1164"/>
      <c r="Z587" s="1164"/>
      <c r="AA587" s="548"/>
      <c r="AB587" s="1164"/>
      <c r="AC587" s="1164"/>
      <c r="AD587" s="1164"/>
      <c r="AE587" s="1164"/>
      <c r="AF587" s="1164"/>
      <c r="AG587" s="1636"/>
      <c r="AH587" s="570"/>
      <c r="AI587" s="570"/>
      <c r="AJ587" s="570"/>
      <c r="AK587" s="570"/>
      <c r="AL587" s="1645">
        <v>11</v>
      </c>
    </row>
    <row s="1645" customFormat="1" customHeight="1" ht="11.549999999999999">
      <c r="A588" s="991"/>
      <c r="B588" s="1640"/>
      <c r="C588" s="1640"/>
      <c r="D588" s="355"/>
      <c r="J588" s="1645"/>
      <c r="K588" s="1645"/>
      <c r="L588" s="1645"/>
      <c r="M588" s="1645"/>
      <c r="N588" s="1645"/>
      <c r="O588" s="1645"/>
      <c r="Q588" s="1164"/>
      <c r="R588" s="1640"/>
      <c r="S588" s="1640"/>
      <c r="T588" s="1164"/>
      <c r="U588" s="1164"/>
      <c r="V588" s="1164"/>
      <c r="W588" s="1164"/>
      <c r="X588" s="1640"/>
      <c r="Y588" s="1164"/>
      <c r="Z588" s="1164"/>
      <c r="AA588" s="548"/>
      <c r="AB588" s="1164"/>
      <c r="AC588" s="1164"/>
      <c r="AD588" s="1164"/>
      <c r="AE588" s="1164"/>
      <c r="AF588" s="1164"/>
      <c r="AG588" s="1636"/>
      <c r="AH588" s="570"/>
      <c r="AI588" s="570"/>
      <c r="AJ588" s="570"/>
      <c r="AK588" s="570"/>
      <c r="AL588" s="1645">
        <v>11</v>
      </c>
    </row>
    <row s="1645" customFormat="1" customHeight="1" ht="11.549999999999999">
      <c r="A589" s="991"/>
      <c r="B589" s="1640"/>
      <c r="C589" s="1640"/>
      <c r="D589" s="355"/>
      <c r="J589" s="1645"/>
      <c r="K589" s="1645"/>
      <c r="L589" s="1645"/>
      <c r="M589" s="1645"/>
      <c r="N589" s="1645"/>
      <c r="O589" s="1645"/>
      <c r="Q589" s="1164"/>
      <c r="R589" s="1640"/>
      <c r="S589" s="1640"/>
      <c r="T589" s="1164"/>
      <c r="U589" s="1164"/>
      <c r="V589" s="1164"/>
      <c r="W589" s="1164"/>
      <c r="X589" s="1640"/>
      <c r="Y589" s="1164"/>
      <c r="Z589" s="1164"/>
      <c r="AA589" s="548"/>
      <c r="AB589" s="1164"/>
      <c r="AC589" s="1164"/>
      <c r="AD589" s="1164"/>
      <c r="AE589" s="1164"/>
      <c r="AF589" s="1164"/>
      <c r="AG589" s="1636"/>
      <c r="AH589" s="570"/>
      <c r="AI589" s="570"/>
      <c r="AJ589" s="570"/>
      <c r="AK589" s="570"/>
      <c r="AL589" s="1645">
        <v>11</v>
      </c>
    </row>
    <row s="1645" customFormat="1" customHeight="1" ht="11.549999999999999">
      <c r="A590" s="991"/>
      <c r="B590" s="1640"/>
      <c r="C590" s="1640"/>
      <c r="D590" s="355"/>
      <c r="J590" s="1645"/>
      <c r="K590" s="1645"/>
      <c r="L590" s="1645"/>
      <c r="M590" s="1645"/>
      <c r="N590" s="1645"/>
      <c r="O590" s="1645"/>
      <c r="Q590" s="1164"/>
      <c r="R590" s="1640"/>
      <c r="S590" s="1640"/>
      <c r="T590" s="1164"/>
      <c r="U590" s="1164"/>
      <c r="V590" s="1164"/>
      <c r="W590" s="1164"/>
      <c r="X590" s="1640"/>
      <c r="Y590" s="1164"/>
      <c r="Z590" s="1164"/>
      <c r="AA590" s="548"/>
      <c r="AB590" s="1164"/>
      <c r="AC590" s="1164"/>
      <c r="AD590" s="1164"/>
      <c r="AE590" s="1164"/>
      <c r="AF590" s="1164"/>
      <c r="AG590" s="1636"/>
      <c r="AH590" s="570"/>
      <c r="AI590" s="570"/>
      <c r="AJ590" s="570"/>
      <c r="AK590" s="570"/>
      <c r="AL590" s="1645">
        <v>11</v>
      </c>
    </row>
    <row s="1645" customFormat="1" customHeight="1" ht="11.549999999999999">
      <c r="A591" s="991"/>
      <c r="B591" s="1640"/>
      <c r="C591" s="1640"/>
      <c r="D591" s="355"/>
      <c r="J591" s="1645"/>
      <c r="K591" s="1645"/>
      <c r="L591" s="1645"/>
      <c r="M591" s="1645"/>
      <c r="N591" s="1645"/>
      <c r="O591" s="1645"/>
      <c r="Q591" s="1164"/>
      <c r="R591" s="1640"/>
      <c r="S591" s="1640"/>
      <c r="T591" s="1164"/>
      <c r="U591" s="1164"/>
      <c r="V591" s="1164"/>
      <c r="W591" s="1164"/>
      <c r="X591" s="1640"/>
      <c r="Y591" s="1164"/>
      <c r="Z591" s="1164"/>
      <c r="AA591" s="548"/>
      <c r="AB591" s="1164"/>
      <c r="AC591" s="1164"/>
      <c r="AD591" s="1164"/>
      <c r="AE591" s="1164"/>
      <c r="AF591" s="1164"/>
      <c r="AG591" s="1636"/>
      <c r="AH591" s="570"/>
      <c r="AI591" s="570"/>
      <c r="AJ591" s="570"/>
      <c r="AK591" s="570"/>
      <c r="AL591" s="1645">
        <v>11</v>
      </c>
    </row>
    <row s="1645" customFormat="1" customHeight="1" ht="11.549999999999999">
      <c r="A592" s="991"/>
      <c r="B592" s="1640"/>
      <c r="C592" s="1640"/>
      <c r="D592" s="355"/>
      <c r="J592" s="1645"/>
      <c r="K592" s="1645"/>
      <c r="L592" s="1645"/>
      <c r="M592" s="1645"/>
      <c r="N592" s="1645"/>
      <c r="O592" s="1645"/>
      <c r="Q592" s="1164"/>
      <c r="R592" s="1640"/>
      <c r="S592" s="1640"/>
      <c r="T592" s="1164"/>
      <c r="U592" s="1164"/>
      <c r="V592" s="1164"/>
      <c r="W592" s="1164"/>
      <c r="X592" s="1640"/>
      <c r="Y592" s="1164"/>
      <c r="Z592" s="1164"/>
      <c r="AA592" s="548"/>
      <c r="AB592" s="1164"/>
      <c r="AC592" s="1164"/>
      <c r="AD592" s="1164"/>
      <c r="AE592" s="1164"/>
      <c r="AF592" s="1164"/>
      <c r="AG592" s="1636"/>
      <c r="AH592" s="570"/>
      <c r="AI592" s="570"/>
      <c r="AJ592" s="570"/>
      <c r="AK592" s="570"/>
      <c r="AL592" s="1645">
        <v>11</v>
      </c>
    </row>
    <row s="1645" customFormat="1" customHeight="1" ht="11.549999999999999">
      <c r="A593" s="991"/>
      <c r="B593" s="1640"/>
      <c r="C593" s="1640"/>
      <c r="D593" s="355"/>
      <c r="J593" s="1645"/>
      <c r="K593" s="1645"/>
      <c r="L593" s="1645"/>
      <c r="M593" s="1645"/>
      <c r="N593" s="1645"/>
      <c r="O593" s="1645"/>
      <c r="Q593" s="1164"/>
      <c r="R593" s="1640"/>
      <c r="S593" s="1640"/>
      <c r="T593" s="1164"/>
      <c r="U593" s="1164"/>
      <c r="V593" s="1164"/>
      <c r="W593" s="1164"/>
      <c r="X593" s="1640"/>
      <c r="Y593" s="1164"/>
      <c r="Z593" s="1164"/>
      <c r="AA593" s="548"/>
      <c r="AB593" s="1164"/>
      <c r="AC593" s="1164"/>
      <c r="AD593" s="1164"/>
      <c r="AE593" s="1164"/>
      <c r="AF593" s="1164"/>
      <c r="AG593" s="1636"/>
      <c r="AH593" s="570"/>
      <c r="AI593" s="570"/>
      <c r="AJ593" s="570"/>
      <c r="AK593" s="570"/>
      <c r="AL593" s="1645">
        <v>11</v>
      </c>
    </row>
    <row s="1645" customFormat="1" customHeight="1" ht="11.549999999999999">
      <c r="A594" s="991"/>
      <c r="B594" s="1640"/>
      <c r="C594" s="1640"/>
      <c r="D594" s="355"/>
      <c r="J594" s="1645"/>
      <c r="K594" s="1645"/>
      <c r="L594" s="1645"/>
      <c r="M594" s="1645"/>
      <c r="N594" s="1645"/>
      <c r="O594" s="1645"/>
      <c r="Q594" s="1164"/>
      <c r="R594" s="1640"/>
      <c r="S594" s="1640"/>
      <c r="T594" s="1164"/>
      <c r="U594" s="1164"/>
      <c r="V594" s="1164"/>
      <c r="W594" s="1164"/>
      <c r="X594" s="1640"/>
      <c r="Y594" s="1164"/>
      <c r="Z594" s="1164"/>
      <c r="AA594" s="548"/>
      <c r="AB594" s="1164"/>
      <c r="AC594" s="1164"/>
      <c r="AD594" s="1164"/>
      <c r="AE594" s="1164"/>
      <c r="AF594" s="1164"/>
      <c r="AG594" s="1636"/>
      <c r="AH594" s="570"/>
      <c r="AI594" s="570"/>
      <c r="AJ594" s="570"/>
      <c r="AK594" s="570"/>
      <c r="AL594" s="1645">
        <v>11</v>
      </c>
    </row>
    <row s="1645" customFormat="1" customHeight="1" ht="11.549999999999999">
      <c r="A595" s="991"/>
      <c r="B595" s="1640"/>
      <c r="C595" s="1640"/>
      <c r="D595" s="355"/>
      <c r="J595" s="1645"/>
      <c r="K595" s="1645"/>
      <c r="L595" s="1645"/>
      <c r="M595" s="1645"/>
      <c r="N595" s="1645"/>
      <c r="O595" s="1645"/>
      <c r="Q595" s="1164"/>
      <c r="R595" s="1640"/>
      <c r="S595" s="1640"/>
      <c r="T595" s="1164"/>
      <c r="U595" s="1164"/>
      <c r="V595" s="1164"/>
      <c r="W595" s="1164"/>
      <c r="X595" s="1640"/>
      <c r="Y595" s="1164"/>
      <c r="Z595" s="1164"/>
      <c r="AA595" s="548"/>
      <c r="AB595" s="1164"/>
      <c r="AC595" s="1164"/>
      <c r="AD595" s="1164"/>
      <c r="AE595" s="1164"/>
      <c r="AF595" s="1164"/>
      <c r="AG595" s="1636"/>
      <c r="AH595" s="570"/>
      <c r="AI595" s="570"/>
      <c r="AJ595" s="570"/>
      <c r="AK595" s="570"/>
      <c r="AL595" s="1645">
        <v>11</v>
      </c>
    </row>
    <row s="1645" customFormat="1" customHeight="1" ht="11.549999999999999">
      <c r="A596" s="991"/>
      <c r="B596" s="1640"/>
      <c r="C596" s="1640"/>
      <c r="D596" s="355"/>
      <c r="J596" s="1645"/>
      <c r="K596" s="1645"/>
      <c r="L596" s="1645"/>
      <c r="M596" s="1645"/>
      <c r="N596" s="1645"/>
      <c r="O596" s="1645"/>
      <c r="Q596" s="1164"/>
      <c r="R596" s="1640"/>
      <c r="S596" s="1640"/>
      <c r="T596" s="1164"/>
      <c r="U596" s="1164"/>
      <c r="V596" s="1164"/>
      <c r="W596" s="1164"/>
      <c r="X596" s="1640"/>
      <c r="Y596" s="1164"/>
      <c r="Z596" s="1164"/>
      <c r="AA596" s="548"/>
      <c r="AB596" s="1164"/>
      <c r="AC596" s="1164"/>
      <c r="AD596" s="1164"/>
      <c r="AE596" s="1164"/>
      <c r="AF596" s="1164"/>
      <c r="AG596" s="1636"/>
      <c r="AH596" s="570"/>
      <c r="AI596" s="570"/>
      <c r="AJ596" s="570"/>
      <c r="AK596" s="570"/>
      <c r="AL596" s="1645">
        <v>11</v>
      </c>
    </row>
    <row s="1645" customFormat="1" customHeight="1" ht="11.549999999999999">
      <c r="A597" s="991"/>
      <c r="B597" s="1640"/>
      <c r="C597" s="1640"/>
      <c r="D597" s="355"/>
      <c r="J597" s="1645"/>
      <c r="K597" s="1645"/>
      <c r="L597" s="1645"/>
      <c r="M597" s="1645"/>
      <c r="N597" s="1645"/>
      <c r="O597" s="1645"/>
      <c r="Q597" s="1164"/>
      <c r="R597" s="1640"/>
      <c r="S597" s="1640"/>
      <c r="T597" s="1164"/>
      <c r="U597" s="1164"/>
      <c r="V597" s="1164"/>
      <c r="W597" s="1164"/>
      <c r="X597" s="1640"/>
      <c r="Y597" s="1164"/>
      <c r="Z597" s="1164"/>
      <c r="AA597" s="548"/>
      <c r="AB597" s="1164"/>
      <c r="AC597" s="1164"/>
      <c r="AD597" s="1164"/>
      <c r="AE597" s="1164"/>
      <c r="AF597" s="1164"/>
      <c r="AG597" s="1636"/>
      <c r="AH597" s="570"/>
      <c r="AI597" s="570"/>
      <c r="AJ597" s="570"/>
      <c r="AK597" s="570"/>
      <c r="AL597" s="1645">
        <v>11</v>
      </c>
    </row>
    <row s="1645" customFormat="1" customHeight="1" ht="11.549999999999999">
      <c r="A598" s="991"/>
      <c r="B598" s="1640"/>
      <c r="C598" s="1640"/>
      <c r="D598" s="355"/>
      <c r="J598" s="1645"/>
      <c r="K598" s="1645"/>
      <c r="L598" s="1645"/>
      <c r="M598" s="1645"/>
      <c r="N598" s="1645"/>
      <c r="O598" s="1645"/>
      <c r="Q598" s="1164"/>
      <c r="R598" s="1640"/>
      <c r="S598" s="1640"/>
      <c r="T598" s="1164"/>
      <c r="U598" s="1164"/>
      <c r="V598" s="1164"/>
      <c r="W598" s="1164"/>
      <c r="X598" s="1640"/>
      <c r="Y598" s="1164"/>
      <c r="Z598" s="1164"/>
      <c r="AA598" s="548"/>
      <c r="AB598" s="1164"/>
      <c r="AC598" s="1164"/>
      <c r="AD598" s="1164"/>
      <c r="AE598" s="1164"/>
      <c r="AF598" s="1164"/>
      <c r="AG598" s="1636"/>
      <c r="AH598" s="570"/>
      <c r="AI598" s="570"/>
      <c r="AJ598" s="570"/>
      <c r="AK598" s="570"/>
      <c r="AL598" s="1645">
        <v>11</v>
      </c>
    </row>
    <row s="1645" customFormat="1" customHeight="1" ht="11.549999999999999">
      <c r="A599" s="991"/>
      <c r="B599" s="1640"/>
      <c r="C599" s="1640"/>
      <c r="D599" s="355"/>
      <c r="J599" s="1645"/>
      <c r="K599" s="1645"/>
      <c r="L599" s="1645"/>
      <c r="M599" s="1645"/>
      <c r="N599" s="1645"/>
      <c r="O599" s="1645"/>
      <c r="Q599" s="1164"/>
      <c r="R599" s="1640"/>
      <c r="S599" s="1640"/>
      <c r="T599" s="1164"/>
      <c r="U599" s="1164"/>
      <c r="V599" s="1164"/>
      <c r="W599" s="1164"/>
      <c r="X599" s="1640"/>
      <c r="Y599" s="1164"/>
      <c r="Z599" s="1164"/>
      <c r="AA599" s="548"/>
      <c r="AB599" s="1164"/>
      <c r="AC599" s="1164"/>
      <c r="AD599" s="1164"/>
      <c r="AE599" s="1164"/>
      <c r="AF599" s="1164"/>
      <c r="AG599" s="1636"/>
      <c r="AH599" s="570"/>
      <c r="AI599" s="570"/>
      <c r="AJ599" s="570"/>
      <c r="AK599" s="570"/>
      <c r="AL599" s="1645">
        <v>11</v>
      </c>
    </row>
    <row s="1645" customFormat="1" customHeight="1" ht="11.549999999999999">
      <c r="A600" s="991"/>
      <c r="B600" s="1640"/>
      <c r="C600" s="1640"/>
      <c r="D600" s="355"/>
      <c r="J600" s="1645"/>
      <c r="K600" s="1645"/>
      <c r="L600" s="1645"/>
      <c r="M600" s="1645"/>
      <c r="N600" s="1645"/>
      <c r="O600" s="1645"/>
      <c r="Q600" s="1164"/>
      <c r="R600" s="1640"/>
      <c r="S600" s="1640"/>
      <c r="T600" s="1164"/>
      <c r="U600" s="1164"/>
      <c r="V600" s="1164"/>
      <c r="W600" s="1164"/>
      <c r="X600" s="1640"/>
      <c r="Y600" s="1164"/>
      <c r="Z600" s="1164"/>
      <c r="AA600" s="548"/>
      <c r="AB600" s="1164"/>
      <c r="AC600" s="1164"/>
      <c r="AD600" s="1164"/>
      <c r="AE600" s="1164"/>
      <c r="AF600" s="1164"/>
      <c r="AG600" s="1636"/>
      <c r="AH600" s="570"/>
      <c r="AI600" s="570"/>
      <c r="AJ600" s="570"/>
      <c r="AK600" s="570"/>
      <c r="AL600" s="1645">
        <v>11</v>
      </c>
    </row>
    <row s="1645" customFormat="1" customHeight="1" ht="11.549999999999999">
      <c r="A601" s="991"/>
      <c r="B601" s="1640"/>
      <c r="C601" s="1640"/>
      <c r="D601" s="355"/>
      <c r="J601" s="1645"/>
      <c r="K601" s="1645"/>
      <c r="L601" s="1645"/>
      <c r="M601" s="1645"/>
      <c r="N601" s="1645"/>
      <c r="O601" s="1645"/>
      <c r="Q601" s="1164"/>
      <c r="R601" s="1640"/>
      <c r="S601" s="1640"/>
      <c r="T601" s="1164"/>
      <c r="U601" s="1164"/>
      <c r="V601" s="1164"/>
      <c r="W601" s="1164"/>
      <c r="X601" s="1640"/>
      <c r="Y601" s="1164"/>
      <c r="Z601" s="1164"/>
      <c r="AA601" s="548"/>
      <c r="AB601" s="1164"/>
      <c r="AC601" s="1164"/>
      <c r="AD601" s="1164"/>
      <c r="AE601" s="1164"/>
      <c r="AF601" s="1164"/>
      <c r="AG601" s="1636"/>
      <c r="AH601" s="570"/>
      <c r="AI601" s="570"/>
      <c r="AJ601" s="570"/>
      <c r="AK601" s="570"/>
      <c r="AL601" s="1645">
        <v>11</v>
      </c>
    </row>
    <row s="1645" customFormat="1" customHeight="1" ht="11.549999999999999">
      <c r="A602" s="991"/>
      <c r="B602" s="1640"/>
      <c r="C602" s="1640"/>
      <c r="D602" s="355"/>
      <c r="J602" s="1645"/>
      <c r="K602" s="1645"/>
      <c r="L602" s="1645"/>
      <c r="M602" s="1645"/>
      <c r="N602" s="1645"/>
      <c r="O602" s="1645"/>
      <c r="Q602" s="1164"/>
      <c r="R602" s="1640"/>
      <c r="S602" s="1640"/>
      <c r="T602" s="1164"/>
      <c r="U602" s="1164"/>
      <c r="V602" s="1164"/>
      <c r="W602" s="1164"/>
      <c r="X602" s="1640"/>
      <c r="Y602" s="1164"/>
      <c r="Z602" s="1164"/>
      <c r="AA602" s="548"/>
      <c r="AB602" s="1164"/>
      <c r="AC602" s="1164"/>
      <c r="AD602" s="1164"/>
      <c r="AE602" s="1164"/>
      <c r="AF602" s="1164"/>
      <c r="AG602" s="1636"/>
      <c r="AH602" s="570"/>
      <c r="AI602" s="570"/>
      <c r="AJ602" s="570"/>
      <c r="AK602" s="570"/>
      <c r="AL602" s="1645">
        <v>11</v>
      </c>
    </row>
    <row s="1645" customFormat="1" customHeight="1" ht="11.549999999999999">
      <c r="A603" s="991"/>
      <c r="B603" s="1640"/>
      <c r="C603" s="1640"/>
      <c r="D603" s="355"/>
      <c r="J603" s="1645"/>
      <c r="K603" s="1645"/>
      <c r="L603" s="1645"/>
      <c r="M603" s="1645"/>
      <c r="N603" s="1645"/>
      <c r="O603" s="1645"/>
      <c r="Q603" s="1164"/>
      <c r="R603" s="1640"/>
      <c r="S603" s="1640"/>
      <c r="T603" s="1164"/>
      <c r="U603" s="1164"/>
      <c r="V603" s="1164"/>
      <c r="W603" s="1164"/>
      <c r="X603" s="1640"/>
      <c r="Y603" s="1164"/>
      <c r="Z603" s="1164"/>
      <c r="AA603" s="548"/>
      <c r="AB603" s="1164"/>
      <c r="AC603" s="1164"/>
      <c r="AD603" s="1164"/>
      <c r="AE603" s="1164"/>
      <c r="AF603" s="1164"/>
      <c r="AG603" s="1636"/>
      <c r="AH603" s="570"/>
      <c r="AI603" s="570"/>
      <c r="AJ603" s="570"/>
      <c r="AK603" s="570"/>
      <c r="AL603" s="1645">
        <v>11</v>
      </c>
    </row>
    <row s="1645" customFormat="1" customHeight="1" ht="11.549999999999999">
      <c r="A604" s="991"/>
      <c r="B604" s="1640"/>
      <c r="C604" s="1640"/>
      <c r="D604" s="355"/>
      <c r="J604" s="1645"/>
      <c r="K604" s="1645"/>
      <c r="L604" s="1645"/>
      <c r="M604" s="1645"/>
      <c r="N604" s="1645"/>
      <c r="O604" s="1645"/>
      <c r="Q604" s="1164"/>
      <c r="R604" s="1640"/>
      <c r="S604" s="1640"/>
      <c r="T604" s="1164"/>
      <c r="U604" s="1164"/>
      <c r="V604" s="1164"/>
      <c r="W604" s="1164"/>
      <c r="X604" s="1640"/>
      <c r="Y604" s="1164"/>
      <c r="Z604" s="1164"/>
      <c r="AA604" s="548"/>
      <c r="AB604" s="1164"/>
      <c r="AC604" s="1164"/>
      <c r="AD604" s="1164"/>
      <c r="AE604" s="1164"/>
      <c r="AF604" s="1164"/>
      <c r="AG604" s="1636"/>
      <c r="AH604" s="570"/>
      <c r="AI604" s="570"/>
      <c r="AJ604" s="570"/>
      <c r="AK604" s="570"/>
      <c r="AL604" s="1645">
        <v>11</v>
      </c>
    </row>
    <row s="1645" customFormat="1" customHeight="1" ht="11.549999999999999">
      <c r="A605" s="991"/>
      <c r="B605" s="1640"/>
      <c r="C605" s="1640"/>
      <c r="D605" s="355"/>
      <c r="J605" s="1645"/>
      <c r="K605" s="1645"/>
      <c r="L605" s="1645"/>
      <c r="M605" s="1645"/>
      <c r="N605" s="1645"/>
      <c r="O605" s="1645"/>
      <c r="Q605" s="1164"/>
      <c r="R605" s="1640"/>
      <c r="S605" s="1640"/>
      <c r="T605" s="1164"/>
      <c r="U605" s="1164"/>
      <c r="V605" s="1164"/>
      <c r="W605" s="1164"/>
      <c r="X605" s="1640"/>
      <c r="Y605" s="1164"/>
      <c r="Z605" s="1164"/>
      <c r="AA605" s="548"/>
      <c r="AB605" s="1164"/>
      <c r="AC605" s="1164"/>
      <c r="AD605" s="1164"/>
      <c r="AE605" s="1164"/>
      <c r="AF605" s="1164"/>
      <c r="AG605" s="1636"/>
      <c r="AH605" s="570"/>
      <c r="AI605" s="570"/>
      <c r="AJ605" s="570"/>
      <c r="AK605" s="570"/>
      <c r="AL605" s="1645">
        <v>11</v>
      </c>
    </row>
    <row s="1645" customFormat="1" customHeight="1" ht="11.549999999999999">
      <c r="A606" s="991"/>
      <c r="B606" s="1640"/>
      <c r="C606" s="1640"/>
      <c r="D606" s="355"/>
      <c r="J606" s="1645"/>
      <c r="K606" s="1645"/>
      <c r="L606" s="1645"/>
      <c r="M606" s="1645"/>
      <c r="N606" s="1645"/>
      <c r="O606" s="1645"/>
      <c r="Q606" s="1164"/>
      <c r="R606" s="1640"/>
      <c r="S606" s="1640"/>
      <c r="T606" s="1164"/>
      <c r="U606" s="1164"/>
      <c r="V606" s="1164"/>
      <c r="W606" s="1164"/>
      <c r="X606" s="1640"/>
      <c r="Y606" s="1164"/>
      <c r="Z606" s="1164"/>
      <c r="AA606" s="548"/>
      <c r="AB606" s="1164"/>
      <c r="AC606" s="1164"/>
      <c r="AD606" s="1164"/>
      <c r="AE606" s="1164"/>
      <c r="AF606" s="1164"/>
      <c r="AG606" s="1636"/>
      <c r="AH606" s="570"/>
      <c r="AI606" s="570"/>
      <c r="AJ606" s="570"/>
      <c r="AK606" s="570"/>
      <c r="AL606" s="1645">
        <v>11</v>
      </c>
    </row>
    <row s="1645" customFormat="1" customHeight="1" ht="11.549999999999999">
      <c r="A607" s="991"/>
      <c r="B607" s="1640"/>
      <c r="C607" s="1640"/>
      <c r="D607" s="355"/>
      <c r="J607" s="1645"/>
      <c r="K607" s="1645"/>
      <c r="L607" s="1645"/>
      <c r="M607" s="1645"/>
      <c r="N607" s="1645"/>
      <c r="O607" s="1645"/>
      <c r="Q607" s="1164"/>
      <c r="R607" s="1640"/>
      <c r="S607" s="1640"/>
      <c r="T607" s="1164"/>
      <c r="U607" s="1164"/>
      <c r="V607" s="1164"/>
      <c r="W607" s="1164"/>
      <c r="X607" s="1640"/>
      <c r="Y607" s="1164"/>
      <c r="Z607" s="1164"/>
      <c r="AA607" s="548"/>
      <c r="AB607" s="1164"/>
      <c r="AC607" s="1164"/>
      <c r="AD607" s="1164"/>
      <c r="AE607" s="1164"/>
      <c r="AF607" s="1164"/>
      <c r="AG607" s="1636"/>
      <c r="AH607" s="570"/>
      <c r="AI607" s="570"/>
      <c r="AJ607" s="570"/>
      <c r="AK607" s="570"/>
      <c r="AL607" s="1645">
        <v>11</v>
      </c>
    </row>
    <row s="1645" customFormat="1" customHeight="1" ht="11.549999999999999">
      <c r="A608" s="991"/>
      <c r="B608" s="1640"/>
      <c r="C608" s="1640"/>
      <c r="D608" s="355"/>
      <c r="J608" s="1645"/>
      <c r="K608" s="1645"/>
      <c r="L608" s="1645"/>
      <c r="M608" s="1645"/>
      <c r="N608" s="1645"/>
      <c r="O608" s="1645"/>
      <c r="Q608" s="1164"/>
      <c r="R608" s="1640"/>
      <c r="S608" s="1640"/>
      <c r="T608" s="1164"/>
      <c r="U608" s="1164"/>
      <c r="V608" s="1164"/>
      <c r="W608" s="1164"/>
      <c r="X608" s="1640"/>
      <c r="Y608" s="1164"/>
      <c r="Z608" s="1164"/>
      <c r="AA608" s="548"/>
      <c r="AB608" s="1164"/>
      <c r="AC608" s="1164"/>
      <c r="AD608" s="1164"/>
      <c r="AE608" s="1164"/>
      <c r="AF608" s="1164"/>
      <c r="AG608" s="1636"/>
      <c r="AH608" s="570"/>
      <c r="AI608" s="570"/>
      <c r="AJ608" s="570"/>
      <c r="AK608" s="570"/>
      <c r="AL608" s="1645">
        <v>11</v>
      </c>
    </row>
    <row s="1645" customFormat="1" customHeight="1" ht="11.549999999999999">
      <c r="A609" s="991"/>
      <c r="B609" s="1640"/>
      <c r="C609" s="1640"/>
      <c r="D609" s="355"/>
      <c r="J609" s="1645"/>
      <c r="K609" s="1645"/>
      <c r="L609" s="1645"/>
      <c r="M609" s="1645"/>
      <c r="N609" s="1645"/>
      <c r="O609" s="1645"/>
      <c r="Q609" s="1164"/>
      <c r="R609" s="1640"/>
      <c r="S609" s="1640"/>
      <c r="T609" s="1164"/>
      <c r="U609" s="1164"/>
      <c r="V609" s="1164"/>
      <c r="W609" s="1164"/>
      <c r="X609" s="1640"/>
      <c r="Y609" s="1164"/>
      <c r="Z609" s="1164"/>
      <c r="AA609" s="548"/>
      <c r="AB609" s="1164"/>
      <c r="AC609" s="1164"/>
      <c r="AD609" s="1164"/>
      <c r="AE609" s="1164"/>
      <c r="AF609" s="1164"/>
      <c r="AG609" s="1636"/>
      <c r="AH609" s="570"/>
      <c r="AI609" s="570"/>
      <c r="AJ609" s="570"/>
      <c r="AK609" s="570"/>
      <c r="AL609" s="1645">
        <v>11</v>
      </c>
    </row>
    <row s="1645" customFormat="1" customHeight="1" ht="11.549999999999999">
      <c r="A610" s="991"/>
      <c r="B610" s="1640"/>
      <c r="C610" s="1640"/>
      <c r="D610" s="355"/>
      <c r="J610" s="1645"/>
      <c r="K610" s="1645"/>
      <c r="L610" s="1645"/>
      <c r="M610" s="1645"/>
      <c r="N610" s="1645"/>
      <c r="O610" s="1645"/>
      <c r="Q610" s="1164"/>
      <c r="R610" s="1640"/>
      <c r="S610" s="1640"/>
      <c r="T610" s="1164"/>
      <c r="U610" s="1164"/>
      <c r="V610" s="1164"/>
      <c r="W610" s="1164"/>
      <c r="X610" s="1640"/>
      <c r="Y610" s="1164"/>
      <c r="Z610" s="1164"/>
      <c r="AA610" s="548"/>
      <c r="AB610" s="1164"/>
      <c r="AC610" s="1164"/>
      <c r="AD610" s="1164"/>
      <c r="AE610" s="1164"/>
      <c r="AF610" s="1164"/>
      <c r="AG610" s="1636"/>
      <c r="AH610" s="570"/>
      <c r="AI610" s="570"/>
      <c r="AJ610" s="570"/>
      <c r="AK610" s="570"/>
      <c r="AL610" s="1645">
        <v>11</v>
      </c>
    </row>
    <row s="1645" customFormat="1" customHeight="1" ht="11.549999999999999">
      <c r="A611" s="991"/>
      <c r="B611" s="1640"/>
      <c r="C611" s="1640"/>
      <c r="D611" s="355"/>
      <c r="J611" s="1645"/>
      <c r="K611" s="1645"/>
      <c r="L611" s="1645"/>
      <c r="M611" s="1645"/>
      <c r="N611" s="1645"/>
      <c r="O611" s="1645"/>
      <c r="Q611" s="1164"/>
      <c r="R611" s="1640"/>
      <c r="S611" s="1640"/>
      <c r="T611" s="1164"/>
      <c r="U611" s="1164"/>
      <c r="V611" s="1164"/>
      <c r="W611" s="1164"/>
      <c r="X611" s="1640"/>
      <c r="Y611" s="1164"/>
      <c r="Z611" s="1164"/>
      <c r="AA611" s="548"/>
      <c r="AB611" s="1164"/>
      <c r="AC611" s="1164"/>
      <c r="AD611" s="1164"/>
      <c r="AE611" s="1164"/>
      <c r="AF611" s="1164"/>
      <c r="AG611" s="1636"/>
      <c r="AH611" s="570"/>
      <c r="AI611" s="570"/>
      <c r="AJ611" s="570"/>
      <c r="AK611" s="570"/>
      <c r="AL611" s="1645">
        <v>11</v>
      </c>
    </row>
    <row s="1645" customFormat="1" customHeight="1" ht="11.549999999999999">
      <c r="A612" s="991"/>
      <c r="B612" s="1640"/>
      <c r="C612" s="1640"/>
      <c r="D612" s="355"/>
      <c r="J612" s="1645"/>
      <c r="K612" s="1645"/>
      <c r="L612" s="1645"/>
      <c r="M612" s="1645"/>
      <c r="N612" s="1645"/>
      <c r="O612" s="1645"/>
      <c r="Q612" s="1164"/>
      <c r="R612" s="1640"/>
      <c r="S612" s="1640"/>
      <c r="T612" s="1164"/>
      <c r="U612" s="1164"/>
      <c r="V612" s="1164"/>
      <c r="W612" s="1164"/>
      <c r="X612" s="1640"/>
      <c r="Y612" s="1164"/>
      <c r="Z612" s="1164"/>
      <c r="AA612" s="548"/>
      <c r="AB612" s="1164"/>
      <c r="AC612" s="1164"/>
      <c r="AD612" s="1164"/>
      <c r="AE612" s="1164"/>
      <c r="AF612" s="1164"/>
      <c r="AG612" s="1636"/>
      <c r="AH612" s="570"/>
      <c r="AI612" s="570"/>
      <c r="AJ612" s="570"/>
      <c r="AK612" s="570"/>
      <c r="AL612" s="1645">
        <v>11</v>
      </c>
    </row>
    <row s="1645" customFormat="1" customHeight="1" ht="11.549999999999999">
      <c r="A613" s="991"/>
      <c r="B613" s="1640"/>
      <c r="C613" s="1640"/>
      <c r="D613" s="355"/>
      <c r="J613" s="1645"/>
      <c r="K613" s="1645"/>
      <c r="L613" s="1645"/>
      <c r="M613" s="1645"/>
      <c r="N613" s="1645"/>
      <c r="O613" s="1645"/>
      <c r="Q613" s="1164"/>
      <c r="R613" s="1640"/>
      <c r="S613" s="1640"/>
      <c r="T613" s="1164"/>
      <c r="U613" s="1164"/>
      <c r="V613" s="1164"/>
      <c r="W613" s="1164"/>
      <c r="X613" s="1640"/>
      <c r="Y613" s="1164"/>
      <c r="Z613" s="1164"/>
      <c r="AA613" s="548"/>
      <c r="AB613" s="1164"/>
      <c r="AC613" s="1164"/>
      <c r="AD613" s="1164"/>
      <c r="AE613" s="1164"/>
      <c r="AF613" s="1164"/>
      <c r="AG613" s="1636"/>
      <c r="AH613" s="570"/>
      <c r="AI613" s="570"/>
      <c r="AJ613" s="570"/>
      <c r="AK613" s="570"/>
      <c r="AL613" s="1645">
        <v>11</v>
      </c>
    </row>
    <row s="1645" customFormat="1" customHeight="1" ht="11.549999999999999">
      <c r="A614" s="991"/>
      <c r="B614" s="1640"/>
      <c r="C614" s="1640"/>
      <c r="D614" s="355"/>
      <c r="J614" s="1645"/>
      <c r="K614" s="1645"/>
      <c r="L614" s="1645"/>
      <c r="M614" s="1645"/>
      <c r="N614" s="1645"/>
      <c r="O614" s="1645"/>
      <c r="Q614" s="1164"/>
      <c r="R614" s="1640"/>
      <c r="S614" s="1640"/>
      <c r="T614" s="1164"/>
      <c r="U614" s="1164"/>
      <c r="V614" s="1164"/>
      <c r="W614" s="1164"/>
      <c r="X614" s="1640"/>
      <c r="Y614" s="1164"/>
      <c r="Z614" s="1164"/>
      <c r="AA614" s="548"/>
      <c r="AB614" s="1164"/>
      <c r="AC614" s="1164"/>
      <c r="AD614" s="1164"/>
      <c r="AE614" s="1164"/>
      <c r="AF614" s="1164"/>
      <c r="AG614" s="1636"/>
      <c r="AH614" s="570"/>
      <c r="AI614" s="570"/>
      <c r="AJ614" s="570"/>
      <c r="AK614" s="570"/>
      <c r="AL614" s="1645">
        <v>11</v>
      </c>
    </row>
    <row s="1645" customFormat="1" customHeight="1" ht="11.549999999999999">
      <c r="A615" s="991"/>
      <c r="B615" s="1640"/>
      <c r="C615" s="1640"/>
      <c r="D615" s="355"/>
      <c r="J615" s="1645"/>
      <c r="K615" s="1645"/>
      <c r="L615" s="1645"/>
      <c r="M615" s="1645"/>
      <c r="N615" s="1645"/>
      <c r="O615" s="1645"/>
      <c r="Q615" s="1164"/>
      <c r="R615" s="1640"/>
      <c r="S615" s="1640"/>
      <c r="T615" s="1164"/>
      <c r="U615" s="1164"/>
      <c r="V615" s="1164"/>
      <c r="W615" s="1164"/>
      <c r="X615" s="1640"/>
      <c r="Y615" s="1164"/>
      <c r="Z615" s="1164"/>
      <c r="AA615" s="548"/>
      <c r="AB615" s="1164"/>
      <c r="AC615" s="1164"/>
      <c r="AD615" s="1164"/>
      <c r="AE615" s="1164"/>
      <c r="AF615" s="1164"/>
      <c r="AG615" s="1636"/>
      <c r="AH615" s="570"/>
      <c r="AI615" s="570"/>
      <c r="AJ615" s="570"/>
      <c r="AK615" s="570"/>
      <c r="AL615" s="1645">
        <v>11</v>
      </c>
    </row>
    <row s="1645" customFormat="1" customHeight="1" ht="11.549999999999999">
      <c r="A616" s="991"/>
      <c r="B616" s="1640"/>
      <c r="C616" s="1640"/>
      <c r="D616" s="355"/>
      <c r="J616" s="1645"/>
      <c r="K616" s="1645"/>
      <c r="L616" s="1645"/>
      <c r="M616" s="1645"/>
      <c r="N616" s="1645"/>
      <c r="O616" s="1645"/>
      <c r="Q616" s="1164"/>
      <c r="R616" s="1640"/>
      <c r="S616" s="1640"/>
      <c r="T616" s="1164"/>
      <c r="U616" s="1164"/>
      <c r="V616" s="1164"/>
      <c r="W616" s="1164"/>
      <c r="X616" s="1640"/>
      <c r="Y616" s="1164"/>
      <c r="Z616" s="1164"/>
      <c r="AA616" s="548"/>
      <c r="AB616" s="1164"/>
      <c r="AC616" s="1164"/>
      <c r="AD616" s="1164"/>
      <c r="AE616" s="1164"/>
      <c r="AF616" s="1164"/>
      <c r="AG616" s="1636"/>
      <c r="AH616" s="570"/>
      <c r="AI616" s="570"/>
      <c r="AJ616" s="570"/>
      <c r="AK616" s="570"/>
      <c r="AL616" s="1645">
        <v>11</v>
      </c>
    </row>
    <row s="1645" customFormat="1" customHeight="1" ht="11.549999999999999">
      <c r="A617" s="991"/>
      <c r="B617" s="1640"/>
      <c r="C617" s="1640"/>
      <c r="D617" s="355"/>
      <c r="J617" s="1645"/>
      <c r="K617" s="1645"/>
      <c r="L617" s="1645"/>
      <c r="M617" s="1645"/>
      <c r="N617" s="1645"/>
      <c r="O617" s="1645"/>
      <c r="Q617" s="1164"/>
      <c r="R617" s="1640"/>
      <c r="S617" s="1640"/>
      <c r="T617" s="1164"/>
      <c r="U617" s="1164"/>
      <c r="V617" s="1164"/>
      <c r="W617" s="1164"/>
      <c r="X617" s="1640"/>
      <c r="Y617" s="1164"/>
      <c r="Z617" s="1164"/>
      <c r="AA617" s="548"/>
      <c r="AB617" s="1164"/>
      <c r="AC617" s="1164"/>
      <c r="AD617" s="1164"/>
      <c r="AE617" s="1164"/>
      <c r="AF617" s="1164"/>
      <c r="AG617" s="1636"/>
      <c r="AH617" s="570"/>
      <c r="AI617" s="570"/>
      <c r="AJ617" s="570"/>
      <c r="AK617" s="570"/>
      <c r="AL617" s="1645">
        <v>11</v>
      </c>
    </row>
    <row s="1645" customFormat="1" customHeight="1" ht="11.549999999999999">
      <c r="A618" s="991"/>
      <c r="B618" s="1640"/>
      <c r="C618" s="1640"/>
      <c r="D618" s="355"/>
      <c r="J618" s="1645"/>
      <c r="K618" s="1645"/>
      <c r="L618" s="1645"/>
      <c r="M618" s="1645"/>
      <c r="N618" s="1645"/>
      <c r="O618" s="1645"/>
      <c r="Q618" s="1164"/>
      <c r="R618" s="1640"/>
      <c r="S618" s="1640"/>
      <c r="T618" s="1164"/>
      <c r="U618" s="1164"/>
      <c r="V618" s="1164"/>
      <c r="W618" s="1164"/>
      <c r="X618" s="1640"/>
      <c r="Y618" s="1164"/>
      <c r="Z618" s="1164"/>
      <c r="AA618" s="548"/>
      <c r="AB618" s="1164"/>
      <c r="AC618" s="1164"/>
      <c r="AD618" s="1164"/>
      <c r="AE618" s="1164"/>
      <c r="AF618" s="1164"/>
      <c r="AG618" s="1636"/>
      <c r="AH618" s="570"/>
      <c r="AI618" s="570"/>
      <c r="AJ618" s="570"/>
      <c r="AK618" s="570"/>
      <c r="AL618" s="1645">
        <v>11</v>
      </c>
    </row>
    <row s="1645" customFormat="1" customHeight="1" ht="11.549999999999999">
      <c r="A619" s="991"/>
      <c r="B619" s="1640"/>
      <c r="C619" s="1640"/>
      <c r="D619" s="355"/>
      <c r="J619" s="1645"/>
      <c r="K619" s="1645"/>
      <c r="L619" s="1645"/>
      <c r="M619" s="1645"/>
      <c r="N619" s="1645"/>
      <c r="O619" s="1645"/>
      <c r="Q619" s="1164"/>
      <c r="R619" s="1640"/>
      <c r="S619" s="1640"/>
      <c r="T619" s="1164"/>
      <c r="U619" s="1164"/>
      <c r="V619" s="1164"/>
      <c r="W619" s="1164"/>
      <c r="X619" s="1640"/>
      <c r="Y619" s="1164"/>
      <c r="Z619" s="1164"/>
      <c r="AA619" s="548"/>
      <c r="AB619" s="1164"/>
      <c r="AC619" s="1164"/>
      <c r="AD619" s="1164"/>
      <c r="AE619" s="1164"/>
      <c r="AF619" s="1164"/>
      <c r="AG619" s="1636"/>
      <c r="AH619" s="570"/>
      <c r="AI619" s="570"/>
      <c r="AJ619" s="570"/>
      <c r="AK619" s="570"/>
      <c r="AL619" s="1645">
        <v>11</v>
      </c>
    </row>
    <row s="1645" customFormat="1" customHeight="1" ht="11.549999999999999">
      <c r="A620" s="991"/>
      <c r="B620" s="1640"/>
      <c r="C620" s="1640"/>
      <c r="D620" s="355"/>
      <c r="J620" s="1645"/>
      <c r="K620" s="1645"/>
      <c r="L620" s="1645"/>
      <c r="M620" s="1645"/>
      <c r="N620" s="1645"/>
      <c r="O620" s="1645"/>
      <c r="Q620" s="1164"/>
      <c r="R620" s="1640"/>
      <c r="S620" s="1640"/>
      <c r="T620" s="1164"/>
      <c r="U620" s="1164"/>
      <c r="V620" s="1164"/>
      <c r="W620" s="1164"/>
      <c r="X620" s="1640"/>
      <c r="Y620" s="1164"/>
      <c r="Z620" s="1164"/>
      <c r="AA620" s="548"/>
      <c r="AB620" s="1164"/>
      <c r="AC620" s="1164"/>
      <c r="AD620" s="1164"/>
      <c r="AE620" s="1164"/>
      <c r="AF620" s="1164"/>
      <c r="AG620" s="1636"/>
      <c r="AH620" s="570"/>
      <c r="AI620" s="570"/>
      <c r="AJ620" s="570"/>
      <c r="AK620" s="570"/>
      <c r="AL620" s="1645">
        <v>11</v>
      </c>
    </row>
    <row s="1645" customFormat="1" customHeight="1" ht="11.549999999999999">
      <c r="A621" s="991"/>
      <c r="B621" s="1640"/>
      <c r="C621" s="1640"/>
      <c r="D621" s="355"/>
      <c r="J621" s="1645"/>
      <c r="K621" s="1645"/>
      <c r="L621" s="1645"/>
      <c r="M621" s="1645"/>
      <c r="N621" s="1645"/>
      <c r="O621" s="1645"/>
      <c r="Q621" s="1164"/>
      <c r="R621" s="1640"/>
      <c r="S621" s="1640"/>
      <c r="T621" s="1164"/>
      <c r="U621" s="1164"/>
      <c r="V621" s="1164"/>
      <c r="W621" s="1164"/>
      <c r="X621" s="1640"/>
      <c r="Y621" s="1164"/>
      <c r="Z621" s="1164"/>
      <c r="AA621" s="548"/>
      <c r="AB621" s="1164"/>
      <c r="AC621" s="1164"/>
      <c r="AD621" s="1164"/>
      <c r="AE621" s="1164"/>
      <c r="AF621" s="1164"/>
      <c r="AG621" s="1636"/>
      <c r="AH621" s="570"/>
      <c r="AI621" s="570"/>
      <c r="AJ621" s="570"/>
      <c r="AK621" s="570"/>
      <c r="AL621" s="1645">
        <v>11</v>
      </c>
    </row>
    <row s="1645" customFormat="1" customHeight="1" ht="11.549999999999999">
      <c r="A622" s="991"/>
      <c r="B622" s="1640"/>
      <c r="C622" s="1640"/>
      <c r="D622" s="355"/>
      <c r="J622" s="1645"/>
      <c r="K622" s="1645"/>
      <c r="L622" s="1645"/>
      <c r="M622" s="1645"/>
      <c r="N622" s="1645"/>
      <c r="O622" s="1645"/>
      <c r="Q622" s="1164"/>
      <c r="R622" s="1640"/>
      <c r="S622" s="1640"/>
      <c r="T622" s="1164"/>
      <c r="U622" s="1164"/>
      <c r="V622" s="1164"/>
      <c r="W622" s="1164"/>
      <c r="X622" s="1640"/>
      <c r="Y622" s="1164"/>
      <c r="Z622" s="1164"/>
      <c r="AA622" s="548"/>
      <c r="AB622" s="1164"/>
      <c r="AC622" s="1164"/>
      <c r="AD622" s="1164"/>
      <c r="AE622" s="1164"/>
      <c r="AF622" s="1164"/>
      <c r="AG622" s="1636"/>
      <c r="AH622" s="570"/>
      <c r="AI622" s="570"/>
      <c r="AJ622" s="570"/>
      <c r="AK622" s="570"/>
      <c r="AL622" s="1645">
        <v>11</v>
      </c>
    </row>
    <row s="1645" customFormat="1" customHeight="1" ht="11.549999999999999">
      <c r="A623" s="991"/>
      <c r="B623" s="1640"/>
      <c r="C623" s="1640"/>
      <c r="D623" s="355"/>
      <c r="J623" s="1645"/>
      <c r="K623" s="1645"/>
      <c r="L623" s="1645"/>
      <c r="M623" s="1645"/>
      <c r="N623" s="1645"/>
      <c r="O623" s="1645"/>
      <c r="Q623" s="1164"/>
      <c r="R623" s="1640"/>
      <c r="S623" s="1640"/>
      <c r="T623" s="1164"/>
      <c r="U623" s="1164"/>
      <c r="V623" s="1164"/>
      <c r="W623" s="1164"/>
      <c r="X623" s="1640"/>
      <c r="Y623" s="1164"/>
      <c r="Z623" s="1164"/>
      <c r="AA623" s="548"/>
      <c r="AB623" s="1164"/>
      <c r="AC623" s="1164"/>
      <c r="AD623" s="1164"/>
      <c r="AE623" s="1164"/>
      <c r="AF623" s="1164"/>
      <c r="AG623" s="1636"/>
      <c r="AH623" s="570"/>
      <c r="AI623" s="570"/>
      <c r="AJ623" s="570"/>
      <c r="AK623" s="570"/>
      <c r="AL623" s="1645">
        <v>11</v>
      </c>
    </row>
    <row s="1645" customFormat="1" customHeight="1" ht="11.549999999999999">
      <c r="A624" s="991"/>
      <c r="B624" s="1640"/>
      <c r="C624" s="1640"/>
      <c r="D624" s="355"/>
      <c r="J624" s="1645"/>
      <c r="K624" s="1645"/>
      <c r="L624" s="1645"/>
      <c r="M624" s="1645"/>
      <c r="N624" s="1645"/>
      <c r="O624" s="1645"/>
      <c r="Q624" s="1164"/>
      <c r="R624" s="1640"/>
      <c r="S624" s="1640"/>
      <c r="T624" s="1164"/>
      <c r="U624" s="1164"/>
      <c r="V624" s="1164"/>
      <c r="W624" s="1164"/>
      <c r="X624" s="1640"/>
      <c r="Y624" s="1164"/>
      <c r="Z624" s="1164"/>
      <c r="AA624" s="548"/>
      <c r="AB624" s="1164"/>
      <c r="AC624" s="1164"/>
      <c r="AD624" s="1164"/>
      <c r="AE624" s="1164"/>
      <c r="AF624" s="1164"/>
      <c r="AG624" s="1636"/>
      <c r="AH624" s="570"/>
      <c r="AI624" s="570"/>
      <c r="AJ624" s="570"/>
      <c r="AK624" s="570"/>
      <c r="AL624" s="1645">
        <v>11</v>
      </c>
    </row>
    <row s="1645" customFormat="1" customHeight="1" ht="11.549999999999999">
      <c r="A625" s="991"/>
      <c r="B625" s="1640"/>
      <c r="C625" s="1640"/>
      <c r="D625" s="355"/>
      <c r="J625" s="1645"/>
      <c r="K625" s="1645"/>
      <c r="L625" s="1645"/>
      <c r="M625" s="1645"/>
      <c r="N625" s="1645"/>
      <c r="O625" s="1645"/>
      <c r="Q625" s="1164"/>
      <c r="R625" s="1640"/>
      <c r="S625" s="1640"/>
      <c r="T625" s="1164"/>
      <c r="U625" s="1164"/>
      <c r="V625" s="1164"/>
      <c r="W625" s="1164"/>
      <c r="X625" s="1640"/>
      <c r="Y625" s="1164"/>
      <c r="Z625" s="1164"/>
      <c r="AA625" s="548"/>
      <c r="AB625" s="1164"/>
      <c r="AC625" s="1164"/>
      <c r="AD625" s="1164"/>
      <c r="AE625" s="1164"/>
      <c r="AF625" s="1164"/>
      <c r="AG625" s="1636"/>
      <c r="AH625" s="570"/>
      <c r="AI625" s="570"/>
      <c r="AJ625" s="570"/>
      <c r="AK625" s="570"/>
      <c r="AL625" s="1645">
        <v>11</v>
      </c>
    </row>
    <row s="1645" customFormat="1" customHeight="1" ht="11.549999999999999">
      <c r="A626" s="991"/>
      <c r="B626" s="1640"/>
      <c r="C626" s="1640"/>
      <c r="D626" s="355"/>
      <c r="J626" s="1645"/>
      <c r="K626" s="1645"/>
      <c r="L626" s="1645"/>
      <c r="M626" s="1645"/>
      <c r="N626" s="1645"/>
      <c r="O626" s="1645"/>
      <c r="Q626" s="1164"/>
      <c r="R626" s="1640"/>
      <c r="S626" s="1640"/>
      <c r="T626" s="1164"/>
      <c r="U626" s="1164"/>
      <c r="V626" s="1164"/>
      <c r="W626" s="1164"/>
      <c r="X626" s="1640"/>
      <c r="Y626" s="1164"/>
      <c r="Z626" s="1164"/>
      <c r="AA626" s="548"/>
      <c r="AB626" s="1164"/>
      <c r="AC626" s="1164"/>
      <c r="AD626" s="1164"/>
      <c r="AE626" s="1164"/>
      <c r="AF626" s="1164"/>
      <c r="AG626" s="1636"/>
      <c r="AH626" s="570"/>
      <c r="AI626" s="570"/>
      <c r="AJ626" s="570"/>
      <c r="AK626" s="570"/>
      <c r="AL626" s="1645">
        <v>11</v>
      </c>
    </row>
    <row s="1645" customFormat="1" customHeight="1" ht="11.549999999999999">
      <c r="A627" s="991"/>
      <c r="B627" s="1640"/>
      <c r="C627" s="1640"/>
      <c r="D627" s="355"/>
      <c r="J627" s="1645"/>
      <c r="K627" s="1645"/>
      <c r="L627" s="1645"/>
      <c r="M627" s="1645"/>
      <c r="N627" s="1645"/>
      <c r="O627" s="1645"/>
      <c r="Q627" s="1164"/>
      <c r="R627" s="1640"/>
      <c r="S627" s="1640"/>
      <c r="T627" s="1164"/>
      <c r="U627" s="1164"/>
      <c r="V627" s="1164"/>
      <c r="W627" s="1164"/>
      <c r="X627" s="1640"/>
      <c r="Y627" s="1164"/>
      <c r="Z627" s="1164"/>
      <c r="AA627" s="548"/>
      <c r="AB627" s="1164"/>
      <c r="AC627" s="1164"/>
      <c r="AD627" s="1164"/>
      <c r="AE627" s="1164"/>
      <c r="AF627" s="1164"/>
      <c r="AG627" s="1636"/>
      <c r="AH627" s="570"/>
      <c r="AI627" s="570"/>
      <c r="AJ627" s="570"/>
      <c r="AK627" s="570"/>
      <c r="AL627" s="1645">
        <v>11</v>
      </c>
    </row>
    <row s="1645" customFormat="1" customHeight="1" ht="11.549999999999999">
      <c r="A628" s="991"/>
      <c r="B628" s="1640"/>
      <c r="C628" s="1640"/>
      <c r="D628" s="355"/>
      <c r="J628" s="1645"/>
      <c r="K628" s="1645"/>
      <c r="L628" s="1645"/>
      <c r="M628" s="1645"/>
      <c r="N628" s="1645"/>
      <c r="O628" s="1645"/>
      <c r="Q628" s="1164"/>
      <c r="R628" s="1640"/>
      <c r="S628" s="1640"/>
      <c r="T628" s="1164"/>
      <c r="U628" s="1164"/>
      <c r="V628" s="1164"/>
      <c r="W628" s="1164"/>
      <c r="X628" s="1640"/>
      <c r="Y628" s="1164"/>
      <c r="Z628" s="1164"/>
      <c r="AA628" s="548"/>
      <c r="AB628" s="1164"/>
      <c r="AC628" s="1164"/>
      <c r="AD628" s="1164"/>
      <c r="AE628" s="1164"/>
      <c r="AF628" s="1164"/>
      <c r="AG628" s="1636"/>
      <c r="AH628" s="570"/>
      <c r="AI628" s="570"/>
      <c r="AJ628" s="570"/>
      <c r="AK628" s="570"/>
      <c r="AL628" s="1645">
        <v>11</v>
      </c>
    </row>
    <row s="1645" customFormat="1" customHeight="1" ht="11.549999999999999">
      <c r="A629" s="991"/>
      <c r="B629" s="1640"/>
      <c r="C629" s="1640"/>
      <c r="D629" s="355"/>
      <c r="J629" s="1645"/>
      <c r="K629" s="1645"/>
      <c r="L629" s="1645"/>
      <c r="M629" s="1645"/>
      <c r="N629" s="1645"/>
      <c r="O629" s="1645"/>
      <c r="Q629" s="1164"/>
      <c r="R629" s="1640"/>
      <c r="S629" s="1640"/>
      <c r="T629" s="1164"/>
      <c r="U629" s="1164"/>
      <c r="V629" s="1164"/>
      <c r="W629" s="1164"/>
      <c r="X629" s="1640"/>
      <c r="Y629" s="1164"/>
      <c r="Z629" s="1164"/>
      <c r="AA629" s="548"/>
      <c r="AB629" s="1164"/>
      <c r="AC629" s="1164"/>
      <c r="AD629" s="1164"/>
      <c r="AE629" s="1164"/>
      <c r="AF629" s="1164"/>
      <c r="AG629" s="1636"/>
      <c r="AH629" s="570"/>
      <c r="AI629" s="570"/>
      <c r="AJ629" s="570"/>
      <c r="AK629" s="570"/>
      <c r="AL629" s="1645">
        <v>11</v>
      </c>
    </row>
    <row s="1645" customFormat="1" customHeight="1" ht="11.549999999999999">
      <c r="A630" s="991"/>
      <c r="B630" s="1640"/>
      <c r="C630" s="1640"/>
      <c r="D630" s="355"/>
      <c r="J630" s="1645"/>
      <c r="K630" s="1645"/>
      <c r="L630" s="1645"/>
      <c r="M630" s="1645"/>
      <c r="N630" s="1645"/>
      <c r="O630" s="1645"/>
      <c r="Q630" s="1164"/>
      <c r="R630" s="1640"/>
      <c r="S630" s="1640"/>
      <c r="T630" s="1164"/>
      <c r="U630" s="1164"/>
      <c r="V630" s="1164"/>
      <c r="W630" s="1164"/>
      <c r="X630" s="1640"/>
      <c r="Y630" s="1164"/>
      <c r="Z630" s="1164"/>
      <c r="AA630" s="548"/>
      <c r="AB630" s="1164"/>
      <c r="AC630" s="1164"/>
      <c r="AD630" s="1164"/>
      <c r="AE630" s="1164"/>
      <c r="AF630" s="1164"/>
      <c r="AG630" s="1636"/>
      <c r="AH630" s="570"/>
      <c r="AI630" s="570"/>
      <c r="AJ630" s="570"/>
      <c r="AK630" s="570"/>
      <c r="AL630" s="1645">
        <v>11</v>
      </c>
    </row>
    <row s="1645" customFormat="1" customHeight="1" ht="11.549999999999999">
      <c r="A631" s="991"/>
      <c r="B631" s="1640"/>
      <c r="C631" s="1640"/>
      <c r="D631" s="355"/>
      <c r="J631" s="1645"/>
      <c r="K631" s="1645"/>
      <c r="L631" s="1645"/>
      <c r="M631" s="1645"/>
      <c r="N631" s="1645"/>
      <c r="O631" s="1645"/>
      <c r="Q631" s="1164"/>
      <c r="R631" s="1640"/>
      <c r="S631" s="1640"/>
      <c r="T631" s="1164"/>
      <c r="U631" s="1164"/>
      <c r="V631" s="1164"/>
      <c r="W631" s="1164"/>
      <c r="X631" s="1640"/>
      <c r="Y631" s="1164"/>
      <c r="Z631" s="1164"/>
      <c r="AA631" s="548"/>
      <c r="AB631" s="1164"/>
      <c r="AC631" s="1164"/>
      <c r="AD631" s="1164"/>
      <c r="AE631" s="1164"/>
      <c r="AF631" s="1164"/>
      <c r="AG631" s="1636"/>
      <c r="AH631" s="570"/>
      <c r="AI631" s="570"/>
      <c r="AJ631" s="570"/>
      <c r="AK631" s="570"/>
      <c r="AL631" s="1645">
        <v>11</v>
      </c>
    </row>
    <row s="1645" customFormat="1" customHeight="1" ht="11.549999999999999">
      <c r="A632" s="991"/>
      <c r="B632" s="1640"/>
      <c r="C632" s="1640"/>
      <c r="D632" s="355"/>
      <c r="J632" s="1645"/>
      <c r="K632" s="1645"/>
      <c r="L632" s="1645"/>
      <c r="M632" s="1645"/>
      <c r="N632" s="1645"/>
      <c r="O632" s="1645"/>
      <c r="Q632" s="1164"/>
      <c r="R632" s="1640"/>
      <c r="S632" s="1640"/>
      <c r="T632" s="1164"/>
      <c r="U632" s="1164"/>
      <c r="V632" s="1164"/>
      <c r="W632" s="1164"/>
      <c r="X632" s="1640"/>
      <c r="Y632" s="1164"/>
      <c r="Z632" s="1164"/>
      <c r="AA632" s="548"/>
      <c r="AB632" s="1164"/>
      <c r="AC632" s="1164"/>
      <c r="AD632" s="1164"/>
      <c r="AE632" s="1164"/>
      <c r="AF632" s="1164"/>
      <c r="AG632" s="1636"/>
      <c r="AH632" s="570"/>
      <c r="AI632" s="570"/>
      <c r="AJ632" s="570"/>
      <c r="AK632" s="570"/>
      <c r="AL632" s="1645">
        <v>11</v>
      </c>
    </row>
    <row s="1645" customFormat="1" customHeight="1" ht="11.549999999999999">
      <c r="A633" s="991"/>
      <c r="B633" s="1640"/>
      <c r="C633" s="1640"/>
      <c r="D633" s="355"/>
      <c r="J633" s="1645"/>
      <c r="K633" s="1645"/>
      <c r="L633" s="1645"/>
      <c r="M633" s="1645"/>
      <c r="N633" s="1645"/>
      <c r="O633" s="1645"/>
      <c r="Q633" s="1164"/>
      <c r="R633" s="1640"/>
      <c r="S633" s="1640"/>
      <c r="T633" s="1164"/>
      <c r="U633" s="1164"/>
      <c r="V633" s="1164"/>
      <c r="W633" s="1164"/>
      <c r="X633" s="1640"/>
      <c r="Y633" s="1164"/>
      <c r="Z633" s="1164"/>
      <c r="AA633" s="548"/>
      <c r="AB633" s="1164"/>
      <c r="AC633" s="1164"/>
      <c r="AD633" s="1164"/>
      <c r="AE633" s="1164"/>
      <c r="AF633" s="1164"/>
      <c r="AG633" s="1636"/>
      <c r="AH633" s="570"/>
      <c r="AI633" s="570"/>
      <c r="AJ633" s="570"/>
      <c r="AK633" s="570"/>
      <c r="AL633" s="1645">
        <v>11</v>
      </c>
    </row>
    <row customHeight="1" ht="11.549999999999999">
      <c r="J634" s="1639"/>
      <c r="K634" s="1639"/>
      <c r="L634" s="1639"/>
      <c r="M634" s="1639"/>
      <c r="N634" s="1639"/>
      <c r="O634" s="1639"/>
      <c r="AL634" s="1635">
        <v>11</v>
      </c>
    </row>
    <row customHeight="1" ht="11.549999999999999">
      <c r="J635" s="1639"/>
      <c r="K635" s="1639"/>
      <c r="L635" s="1639"/>
      <c r="M635" s="1639"/>
      <c r="N635" s="1639"/>
      <c r="O635" s="1639"/>
      <c r="AL635" s="1635">
        <v>11</v>
      </c>
    </row>
    <row customHeight="1" ht="11.549999999999999">
      <c r="J636" s="1639"/>
      <c r="K636" s="1639"/>
      <c r="L636" s="1639"/>
      <c r="M636" s="1639"/>
      <c r="N636" s="1639"/>
      <c r="O636" s="1639"/>
      <c r="AL636" s="1635">
        <v>11</v>
      </c>
    </row>
    <row customHeight="1" ht="11.549999999999999">
      <c r="A637" s="994"/>
      <c r="B637" s="1635"/>
      <c r="D637" s="1635"/>
      <c r="J637" s="1639"/>
      <c r="K637" s="1639"/>
      <c r="L637" s="1639"/>
      <c r="M637" s="1639"/>
      <c r="N637" s="1639"/>
      <c r="O637" s="1639"/>
      <c r="Q637" s="1635"/>
      <c r="T637" s="1635"/>
      <c r="U637" s="1635"/>
      <c r="V637" s="1635"/>
      <c r="W637" s="1635"/>
      <c r="Y637" s="1635"/>
      <c r="Z637" s="1635"/>
      <c r="AA637" s="1635"/>
      <c r="AB637" s="1635"/>
      <c r="AC637" s="1635"/>
      <c r="AD637" s="1635"/>
      <c r="AE637" s="1635"/>
      <c r="AF637" s="1635"/>
      <c r="AG637" s="1635"/>
      <c r="AH637" s="1635"/>
      <c r="AI637" s="1635"/>
      <c r="AJ637" s="1635"/>
      <c r="AK637" s="1635"/>
      <c r="AL637" s="1635">
        <v>11</v>
      </c>
    </row>
    <row customHeight="1" ht="11.549999999999999">
      <c r="A638" s="994"/>
      <c r="B638" s="1635"/>
      <c r="D638" s="1635"/>
      <c r="J638" s="1639"/>
      <c r="K638" s="1639"/>
      <c r="L638" s="1639"/>
      <c r="M638" s="1639"/>
      <c r="N638" s="1639"/>
      <c r="O638" s="1639"/>
      <c r="Q638" s="1635"/>
      <c r="T638" s="1635"/>
      <c r="U638" s="1635"/>
      <c r="V638" s="1635"/>
      <c r="W638" s="1635"/>
      <c r="Y638" s="1635"/>
      <c r="Z638" s="1635"/>
      <c r="AA638" s="1635"/>
      <c r="AB638" s="1635"/>
      <c r="AC638" s="1635"/>
      <c r="AD638" s="1635"/>
      <c r="AE638" s="1635"/>
      <c r="AF638" s="1635"/>
      <c r="AG638" s="1635"/>
      <c r="AH638" s="1635"/>
      <c r="AI638" s="1635"/>
      <c r="AJ638" s="1635"/>
      <c r="AK638" s="1635"/>
      <c r="AL638" s="1635">
        <v>11</v>
      </c>
    </row>
    <row customHeight="1" ht="11.549999999999999">
      <c r="A639" s="994"/>
      <c r="B639" s="1635"/>
      <c r="D639" s="1635"/>
      <c r="J639" s="1639"/>
      <c r="K639" s="1639"/>
      <c r="L639" s="1639"/>
      <c r="M639" s="1639"/>
      <c r="N639" s="1639"/>
      <c r="O639" s="1639"/>
      <c r="Q639" s="1635"/>
      <c r="T639" s="1635"/>
      <c r="U639" s="1635"/>
      <c r="V639" s="1635"/>
      <c r="W639" s="1635"/>
      <c r="Y639" s="1635"/>
      <c r="Z639" s="1635"/>
      <c r="AA639" s="1635"/>
      <c r="AB639" s="1635"/>
      <c r="AC639" s="1635"/>
      <c r="AD639" s="1635"/>
      <c r="AE639" s="1635"/>
      <c r="AF639" s="1635"/>
      <c r="AG639" s="1635"/>
      <c r="AH639" s="1635"/>
      <c r="AI639" s="1635"/>
      <c r="AJ639" s="1635"/>
      <c r="AK639" s="1635"/>
      <c r="AL639" s="1635">
        <v>11</v>
      </c>
    </row>
    <row customHeight="1" ht="11.549999999999999">
      <c r="A640" s="994"/>
      <c r="B640" s="1635"/>
      <c r="D640" s="1635"/>
      <c r="J640" s="1639"/>
      <c r="K640" s="1639"/>
      <c r="L640" s="1639"/>
      <c r="M640" s="1639"/>
      <c r="N640" s="1639"/>
      <c r="O640" s="1639"/>
      <c r="Q640" s="1635"/>
      <c r="T640" s="1635"/>
      <c r="U640" s="1635"/>
      <c r="V640" s="1635"/>
      <c r="W640" s="1635"/>
      <c r="Y640" s="1635"/>
      <c r="Z640" s="1635"/>
      <c r="AA640" s="1635"/>
      <c r="AB640" s="1635"/>
      <c r="AC640" s="1635"/>
      <c r="AD640" s="1635"/>
      <c r="AE640" s="1635"/>
      <c r="AF640" s="1635"/>
      <c r="AG640" s="1635"/>
      <c r="AH640" s="1635"/>
      <c r="AI640" s="1635"/>
      <c r="AJ640" s="1635"/>
      <c r="AK640" s="1635"/>
      <c r="AL640" s="1635">
        <v>11</v>
      </c>
    </row>
    <row customHeight="1" ht="11.549999999999999">
      <c r="A641" s="994"/>
      <c r="B641" s="1635"/>
      <c r="D641" s="1635"/>
      <c r="J641" s="1639"/>
      <c r="K641" s="1639"/>
      <c r="L641" s="1639"/>
      <c r="M641" s="1639"/>
      <c r="N641" s="1639"/>
      <c r="O641" s="1639"/>
      <c r="Q641" s="1635"/>
      <c r="T641" s="1635"/>
      <c r="U641" s="1635"/>
      <c r="V641" s="1635"/>
      <c r="W641" s="1635"/>
      <c r="Y641" s="1635"/>
      <c r="Z641" s="1635"/>
      <c r="AA641" s="1635"/>
      <c r="AB641" s="1635"/>
      <c r="AC641" s="1635"/>
      <c r="AD641" s="1635"/>
      <c r="AE641" s="1635"/>
      <c r="AF641" s="1635"/>
      <c r="AG641" s="1635"/>
      <c r="AH641" s="1635"/>
      <c r="AI641" s="1635"/>
      <c r="AJ641" s="1635"/>
      <c r="AK641" s="1635"/>
      <c r="AL641" s="1635">
        <v>11</v>
      </c>
    </row>
    <row customHeight="1" ht="11.549999999999999">
      <c r="A642" s="994"/>
      <c r="B642" s="1635"/>
      <c r="D642" s="1635"/>
      <c r="J642" s="1639"/>
      <c r="K642" s="1639"/>
      <c r="L642" s="1639"/>
      <c r="M642" s="1639"/>
      <c r="N642" s="1639"/>
      <c r="O642" s="1639"/>
      <c r="Q642" s="1635"/>
      <c r="T642" s="1635"/>
      <c r="U642" s="1635"/>
      <c r="V642" s="1635"/>
      <c r="W642" s="1635"/>
      <c r="Y642" s="1635"/>
      <c r="Z642" s="1635"/>
      <c r="AA642" s="1635"/>
      <c r="AB642" s="1635"/>
      <c r="AC642" s="1635"/>
      <c r="AD642" s="1635"/>
      <c r="AE642" s="1635"/>
      <c r="AF642" s="1635"/>
      <c r="AG642" s="1635"/>
      <c r="AH642" s="1635"/>
      <c r="AI642" s="1635"/>
      <c r="AJ642" s="1635"/>
      <c r="AK642" s="1635"/>
      <c r="AL642" s="1635">
        <v>11</v>
      </c>
    </row>
    <row customHeight="1" ht="11.549999999999999">
      <c r="A643" s="994"/>
      <c r="B643" s="1635"/>
      <c r="D643" s="1635"/>
      <c r="J643" s="1639"/>
      <c r="K643" s="1639"/>
      <c r="L643" s="1639"/>
      <c r="M643" s="1639"/>
      <c r="N643" s="1639"/>
      <c r="O643" s="1639"/>
      <c r="Q643" s="1635"/>
      <c r="T643" s="1635"/>
      <c r="U643" s="1635"/>
      <c r="V643" s="1635"/>
      <c r="W643" s="1635"/>
      <c r="Y643" s="1635"/>
      <c r="Z643" s="1635"/>
      <c r="AA643" s="1635"/>
      <c r="AB643" s="1635"/>
      <c r="AC643" s="1635"/>
      <c r="AD643" s="1635"/>
      <c r="AE643" s="1635"/>
      <c r="AF643" s="1635"/>
      <c r="AG643" s="1635"/>
      <c r="AH643" s="1635"/>
      <c r="AI643" s="1635"/>
      <c r="AJ643" s="1635"/>
      <c r="AK643" s="1635"/>
      <c r="AL643" s="1635">
        <v>11</v>
      </c>
    </row>
    <row customHeight="1" ht="11.549999999999999">
      <c r="A644" s="994"/>
      <c r="B644" s="1635"/>
      <c r="D644" s="1635"/>
      <c r="J644" s="1639"/>
      <c r="K644" s="1639"/>
      <c r="L644" s="1639"/>
      <c r="M644" s="1639"/>
      <c r="N644" s="1639"/>
      <c r="O644" s="1639"/>
      <c r="Q644" s="1635"/>
      <c r="T644" s="1635"/>
      <c r="U644" s="1635"/>
      <c r="V644" s="1635"/>
      <c r="W644" s="1635"/>
      <c r="Y644" s="1635"/>
      <c r="Z644" s="1635"/>
      <c r="AA644" s="1635"/>
      <c r="AB644" s="1635"/>
      <c r="AC644" s="1635"/>
      <c r="AD644" s="1635"/>
      <c r="AE644" s="1635"/>
      <c r="AF644" s="1635"/>
      <c r="AG644" s="1635"/>
      <c r="AH644" s="1635"/>
      <c r="AI644" s="1635"/>
      <c r="AJ644" s="1635"/>
      <c r="AK644" s="1635"/>
      <c r="AL644" s="1635">
        <v>11</v>
      </c>
    </row>
    <row customHeight="1" ht="11.549999999999999">
      <c r="A645" s="994"/>
      <c r="B645" s="1635"/>
      <c r="D645" s="1635"/>
      <c r="J645" s="1639"/>
      <c r="K645" s="1639"/>
      <c r="L645" s="1639"/>
      <c r="M645" s="1639"/>
      <c r="N645" s="1639"/>
      <c r="O645" s="1639"/>
      <c r="Q645" s="1635"/>
      <c r="T645" s="1635"/>
      <c r="U645" s="1635"/>
      <c r="V645" s="1635"/>
      <c r="W645" s="1635"/>
      <c r="Y645" s="1635"/>
      <c r="Z645" s="1635"/>
      <c r="AA645" s="1635"/>
      <c r="AB645" s="1635"/>
      <c r="AC645" s="1635"/>
      <c r="AD645" s="1635"/>
      <c r="AE645" s="1635"/>
      <c r="AF645" s="1635"/>
      <c r="AG645" s="1635"/>
      <c r="AH645" s="1635"/>
      <c r="AI645" s="1635"/>
      <c r="AJ645" s="1635"/>
      <c r="AK645" s="1635"/>
      <c r="AL645" s="1635">
        <v>11</v>
      </c>
    </row>
    <row customHeight="1" ht="11.549999999999999">
      <c r="A646" s="994"/>
      <c r="B646" s="1635"/>
      <c r="D646" s="1635"/>
      <c r="J646" s="1639"/>
      <c r="K646" s="1639"/>
      <c r="L646" s="1639"/>
      <c r="M646" s="1639"/>
      <c r="N646" s="1639"/>
      <c r="O646" s="1639"/>
      <c r="Q646" s="1635"/>
      <c r="T646" s="1635"/>
      <c r="U646" s="1635"/>
      <c r="V646" s="1635"/>
      <c r="W646" s="1635"/>
      <c r="Y646" s="1635"/>
      <c r="Z646" s="1635"/>
      <c r="AA646" s="1635"/>
      <c r="AB646" s="1635"/>
      <c r="AC646" s="1635"/>
      <c r="AD646" s="1635"/>
      <c r="AE646" s="1635"/>
      <c r="AF646" s="1635"/>
      <c r="AG646" s="1635"/>
      <c r="AH646" s="1635"/>
      <c r="AI646" s="1635"/>
      <c r="AJ646" s="1635"/>
      <c r="AK646" s="1635"/>
      <c r="AL646" s="1635">
        <v>11</v>
      </c>
    </row>
    <row customHeight="1" ht="11.549999999999999">
      <c r="A647" s="994"/>
      <c r="B647" s="1635"/>
      <c r="D647" s="1635"/>
      <c r="J647" s="1639"/>
      <c r="K647" s="1639"/>
      <c r="L647" s="1639"/>
      <c r="M647" s="1639"/>
      <c r="N647" s="1639"/>
      <c r="O647" s="1639"/>
      <c r="Q647" s="1635"/>
      <c r="T647" s="1635"/>
      <c r="U647" s="1635"/>
      <c r="V647" s="1635"/>
      <c r="W647" s="1635"/>
      <c r="Y647" s="1635"/>
      <c r="Z647" s="1635"/>
      <c r="AA647" s="1635"/>
      <c r="AB647" s="1635"/>
      <c r="AC647" s="1635"/>
      <c r="AD647" s="1635"/>
      <c r="AE647" s="1635"/>
      <c r="AF647" s="1635"/>
      <c r="AG647" s="1635"/>
      <c r="AH647" s="1635"/>
      <c r="AI647" s="1635"/>
      <c r="AJ647" s="1635"/>
      <c r="AK647" s="1635"/>
      <c r="AL647" s="1635">
        <v>11</v>
      </c>
    </row>
    <row customHeight="1" ht="11.25" hidden="1">
      <c r="A648" s="991" t="s">
        <v>82</v>
      </c>
      <c r="B648" s="1164">
        <v>0</v>
      </c>
      <c r="C648" s="1640">
        <v>0</v>
      </c>
      <c r="D648" s="1639">
        <v>3</v>
      </c>
      <c r="E648" s="1635">
        <v>7</v>
      </c>
      <c r="F648" s="1635">
        <v>54</v>
      </c>
      <c r="G648" s="1635">
        <v>10</v>
      </c>
      <c r="H648" s="1635">
        <v>0</v>
      </c>
      <c r="I648" s="1635">
        <v>40</v>
      </c>
      <c r="J648" s="1639">
        <v>0</v>
      </c>
      <c r="K648" s="1639">
        <v>0</v>
      </c>
      <c r="L648" s="1639">
        <v>0</v>
      </c>
      <c r="M648" s="1639">
        <v>0</v>
      </c>
      <c r="N648" s="1639">
        <v>0</v>
      </c>
      <c r="O648" s="1639">
        <v>0</v>
      </c>
      <c r="P648" s="1635">
        <v>102</v>
      </c>
      <c r="Q648" s="1164">
        <v>9</v>
      </c>
      <c r="R648" s="1640">
        <v>5</v>
      </c>
      <c r="S648" s="1640">
        <v>3</v>
      </c>
      <c r="T648" s="1164">
        <v>3</v>
      </c>
      <c r="U648" s="1164">
        <v>3</v>
      </c>
      <c r="V648" s="1164">
        <v>3</v>
      </c>
      <c r="W648" s="1164">
        <v>3</v>
      </c>
      <c r="X648" s="1640">
        <v>10</v>
      </c>
      <c r="Y648" s="1164">
        <v>34</v>
      </c>
      <c r="Z648" s="1164">
        <v>9</v>
      </c>
      <c r="AA648" s="548">
        <v>8</v>
      </c>
      <c r="AB648" s="1164">
        <v>8</v>
      </c>
      <c r="AC648" s="1164">
        <v>8</v>
      </c>
      <c r="AD648" s="1164">
        <v>8</v>
      </c>
      <c r="AE648" s="1164">
        <v>8</v>
      </c>
      <c r="AF648" s="1164">
        <v>8</v>
      </c>
      <c r="AG648" s="1636">
        <v>8</v>
      </c>
      <c r="AH648" s="1636">
        <v>8</v>
      </c>
      <c r="AI648" s="1636">
        <v>8</v>
      </c>
      <c r="AJ648" s="1636">
        <v>8</v>
      </c>
      <c r="AK648" s="1636">
        <v>8</v>
      </c>
      <c r="AL648" s="1635">
        <v>11</v>
      </c>
    </row>
  </sheetData>
  <sheetProtection formatColumns="0" formatRows="0" autoFilter="0" sort="0" insertRows="0" insertColumns="1" deleteRows="0" deleteColumns="0"/>
  <mergeCells count="19">
    <mergeCell ref="A245:A475"/>
    <mergeCell ref="E21:I21"/>
    <mergeCell ref="E22:I22"/>
    <mergeCell ref="A33:A46"/>
    <mergeCell ref="B34:B39"/>
    <mergeCell ref="A47:A49"/>
    <mergeCell ref="A73:A74"/>
    <mergeCell ref="A95:A103"/>
    <mergeCell ref="A104:A108"/>
    <mergeCell ref="A109:A111"/>
    <mergeCell ref="A112:A236"/>
    <mergeCell ref="A240:A244"/>
    <mergeCell ref="B2:B7"/>
    <mergeCell ref="P25:P29"/>
    <mergeCell ref="F25:G25"/>
    <mergeCell ref="F26:G26"/>
    <mergeCell ref="F27:G27"/>
    <mergeCell ref="E28:G28"/>
    <mergeCell ref="B40:B45"/>
  </mergeCells>
  <dataValidations count="12">
    <dataValidation type="list" allowBlank="1" showInputMessage="1" showErrorMessage="1" errorTitle="Ошибка" error="Выберите значение из списка" prompt="Выберите значение из списка" sqref="H7:O7 H45 I45 J45 K45 L45 M45 N45 O45">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O76 N76 M76 L76 K76 J76 I76 H76">
      <formula1>900</formula1>
    </dataValidation>
    <dataValidation type="textLength" operator="lessThanOrEqual" allowBlank="1" showInputMessage="1" showErrorMessage="1" errorTitle="Ошибка" error="Допускается ввод не более 900 символов!" sqref="G4 H34:O34 O39 N39 M39 L39 K39 J39 I39 H39 G42">
      <formula1>900</formula1>
    </dataValidation>
    <dataValidation type="decimal" allowBlank="1" showErrorMessage="1" errorTitle="Ошибка" error="Допускается ввод только неотрицательных чисел!" sqref="H73:O73 H75:O75 H104:O107 H472:O472 H30:O30 H32:O33 H35:O38 H46:O71 H95:O99 H17:O17 H9:O13 H15:O15 H109:O244 H87:O87 H101:O102 H4:O6 H42 I42 J42 K42 L42 M42 N42 O42 H43 I43 J43 K43 L43 M43 N43 O43 H44 I44 J44 K44 L44 M44 N44 O44 H77:H83 I77:I83 J77:J83 K77:K83 L77:L83 M77:M83 N77:N83 O77:O83 H247:H354 I247:I354 J247:J354 K247:K354 L247:L354 M247:M354 N247:N354 O247:O354 H358:H469 I358:I469 J358:J469 K358:K469 L358:L469 M358:M469 N358:N469 O358:O46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40">
      <formula1>kind_of_fuels</formula1>
    </dataValidation>
    <dataValidation type="list" allowBlank="1" showInputMessage="1" showErrorMessage="1" errorTitle="Ошибка" error="Выберите значение из списка" prompt="Выберите значение из списка" sqref="G106">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73:O475 H94:O94">
      <formula1>900</formula1>
    </dataValidation>
    <dataValidation type="decimal" allowBlank="1" showErrorMessage="1" errorTitle="Ошибка" error="Допускается ввод только действительных чисел!" sqref="H85:O86">
      <formula1>-9.99999999999999E+23</formula1>
      <formula2>9.99999999999999E+23</formula2>
    </dataValidation>
    <dataValidation type="decimal" allowBlank="1" showErrorMessage="1" errorTitle="Ошибка" error="Допускается ввод только действительных чисел!" sqref="H356:O356 H245:O245 H471:O471 H88:O93">
      <formula1>-9.99999999999999E+37</formula1>
      <formula2>9.99999999999999E+37</formula2>
    </dataValidation>
    <dataValidation type="decimal" allowBlank="1" showErrorMessage="1" errorTitle="Ошибка" error="Введите значение от 0 до 100%" sqref="H103:O103 H108:O108">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74:O74 H72:O72"/>
  </dataValidations>
  <hyperlinks>
    <hyperlink ref="I94" r:id="rId1" xr:uid="{844F322D-2E6A-952F-6B1C-43E255C6F31B}"/>
    <hyperlink ref="K94" r:id="rId2" xr:uid="{F66C9474-9151-0387-632F-9CDE763E495E}"/>
    <hyperlink ref="L94" r:id="rId3" xr:uid="{0200F70F-2E28-C305-8923-7B918623C9B5}"/>
    <hyperlink ref="M94" r:id="rId4" xr:uid="{338B252C-87D2-C3E1-D5CC-9E09876DE465}"/>
    <hyperlink ref="N94" r:id="rId5" xr:uid="{80F8B9AC-2F49-CDFA-D0DD-28A66411C7D8}"/>
    <hyperlink ref="O94" r:id="rId6" xr:uid="{A0F9BC89-662A-D89B-99A9-56EAE18AB6C2}"/>
    <hyperlink ref="I474" r:id="rId7" xr:uid="{C44D2F6D-C6EC-DA23-21C2-FB60D0426399}"/>
    <hyperlink ref="J474" r:id="rId8" xr:uid="{82E17361-14F5-8A37-5D1E-1D01D3D10525}"/>
    <hyperlink ref="K474" r:id="rId9" xr:uid="{317CD2A9-9B8E-C201-6761-256CE6AAA0CA}"/>
    <hyperlink ref="L474" r:id="rId10" xr:uid="{F72F183C-43DC-9D1F-9F6F-6CF4E75AE7D8}"/>
    <hyperlink ref="M474" r:id="rId11" xr:uid="{1072FE1D-6B3C-1DEA-88DC-4DCE6D5B6FFC}"/>
    <hyperlink ref="N474" r:id="rId12" xr:uid="{E4DCFCE8-D20B-FF57-641B-5069E4318F2E}"/>
    <hyperlink ref="O474" r:id="rId13" xr:uid="{E1ABB553-8F77-0124-E678-184BAB4DA1B8}"/>
    <hyperlink ref="I475" r:id="rId14" xr:uid="{B2C2CDA7-E619-8602-E482-28DDE4E891AB}"/>
    <hyperlink ref="J475" r:id="rId15" xr:uid="{753ABD37-E31A-D8D2-23D9-24A5FCEF675C}"/>
    <hyperlink ref="K475" r:id="rId16" xr:uid="{08A58806-F984-2AB2-8349-3CFC8D1BA05B}"/>
    <hyperlink ref="L475" r:id="rId17" xr:uid="{94BF82B3-AAC4-6B81-1E87-9D5A6C078CF2}"/>
    <hyperlink ref="M475" r:id="rId18" xr:uid="{868D1E46-CFCC-9E7E-5CA9-A396B49E4EE4}"/>
    <hyperlink ref="N475" r:id="rId19" xr:uid="{3005CDA9-8E08-A41B-FE61-3C869C96CC82}"/>
    <hyperlink ref="O475" r:id="rId20" xr:uid="{3FF36584-8877-CBFB-98EF-3AF2EBA6530E}"/>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E13C7A-8A01-69C6-8D41-0D4C1E4F220E}" mc:Ignorable="x14ac xr xr2 xr3">
  <sheetPr>
    <tabColor theme="9" tint="-0.25"/>
  </sheetPr>
  <dimension ref="A1:CF83"/>
  <sheetViews>
    <sheetView topLeftCell="C4" showGridLines="0" zoomScale="90" workbookViewId="0">
      <selection activeCell="A83" sqref="A83"/>
    </sheetView>
  </sheetViews>
  <sheetFormatPr defaultColWidth="9.140625" customHeight="1" defaultRowHeight="11.25"/>
  <cols>
    <col min="1" max="1" style="947" width="14.7109375" hidden="1" customWidth="1"/>
    <col min="2" max="2" style="1636" width="17.00390625" hidden="1" customWidth="1"/>
    <col min="3" max="3" style="1639" width="3.00390625" customWidth="1"/>
    <col min="4" max="4" style="1639" width="1.8515625" hidden="1" customWidth="1"/>
    <col min="5" max="6" style="1639" width="7.00390625" customWidth="1"/>
    <col min="7" max="7" style="1639" width="29.00390625" customWidth="1"/>
    <col min="8" max="8" style="1639" width="3.7109375" customWidth="1"/>
    <col min="9" max="9" style="1639" width="5.00390625" customWidth="1"/>
    <col min="10" max="11" style="1639" width="24.00390625" customWidth="1"/>
    <col min="12" max="12" style="1639" width="3.00390625" customWidth="1"/>
    <col min="13" max="13" style="1639" width="6.00390625" customWidth="1"/>
    <col min="14" max="14" style="1639" width="25.00390625" customWidth="1"/>
    <col min="15" max="18" style="1639" width="18.00390625" customWidth="1"/>
    <col min="19" max="19" style="1639" width="93.00390625" customWidth="1"/>
    <col min="20" max="20" style="1639" width="10.00390625" customWidth="1"/>
    <col min="21" max="21" style="1646" width="10.00390625" customWidth="1"/>
    <col min="22" max="22" style="1646" width="11.00390625" customWidth="1"/>
    <col min="23" max="27" style="1636" width="10.00390625" customWidth="1"/>
    <col min="28" max="83" style="1639" width="8.00390625" customWidth="1"/>
    <col min="84" max="84" style="1639" width="9.140625" hidden="1"/>
  </cols>
  <sheetData>
    <row customHeight="1" ht="22.5" hidden="1">
      <c r="CF1" s="509" t="s">
        <v>14</v>
      </c>
    </row>
    <row customHeight="1" ht="11.25" hidden="1">
      <c r="CF2" s="509">
        <v>0</v>
      </c>
    </row>
    <row customHeight="1" ht="11.25" hidden="1">
      <c r="CF3" s="509">
        <v>0</v>
      </c>
    </row>
    <row customHeight="1" ht="3">
      <c r="C4" s="513"/>
      <c r="D4" s="513"/>
      <c r="E4" s="513"/>
      <c r="F4" s="513"/>
      <c r="G4" s="513"/>
      <c r="H4" s="513"/>
      <c r="I4" s="513"/>
      <c r="J4" s="513"/>
      <c r="K4" s="170"/>
      <c r="L4" s="170"/>
      <c r="M4" s="170"/>
      <c r="CF4" s="509">
        <v>3</v>
      </c>
    </row>
    <row customHeight="1" ht="29.25">
      <c r="C5" s="513"/>
      <c r="D5" s="1061"/>
      <c r="E5" s="2241" t="str">
        <f>FHD20_NAME_FORM</f>
        <v>Форма 11. Информация о расходах на капитальный и текущий ремонт основных средств</v>
      </c>
      <c r="F5" s="2241"/>
      <c r="G5" s="2241"/>
      <c r="H5" s="2241"/>
      <c r="I5" s="2241"/>
      <c r="J5" s="2241"/>
      <c r="K5" s="2241"/>
      <c r="L5" s="617"/>
      <c r="M5" s="617"/>
      <c r="CF5" s="509">
        <v>28</v>
      </c>
    </row>
    <row s="1639" customFormat="1" customHeight="1" ht="16.8">
      <c r="A6" s="614"/>
      <c r="B6" s="763"/>
      <c r="C6" s="513"/>
      <c r="D6" s="1062"/>
      <c r="E6" s="2180" t="str">
        <f>IF(org=0,"Не определено",org)</f>
        <v>АО "Теплоэнерго"</v>
      </c>
      <c r="F6" s="2180"/>
      <c r="G6" s="2180"/>
      <c r="H6" s="2180"/>
      <c r="I6" s="2180"/>
      <c r="J6" s="2180"/>
      <c r="K6" s="2180"/>
      <c r="L6" s="617"/>
      <c r="M6" s="617"/>
      <c r="U6" s="615"/>
      <c r="V6" s="615"/>
      <c r="W6" s="616"/>
      <c r="X6" s="763"/>
      <c r="Y6" s="763"/>
      <c r="Z6" s="763"/>
      <c r="AA6" s="763"/>
      <c r="CF6" s="762">
        <v>16</v>
      </c>
    </row>
    <row customHeight="1" ht="11.549999999999999">
      <c r="C7" s="513"/>
      <c r="D7" s="513"/>
      <c r="E7" s="513"/>
      <c r="F7" s="513"/>
      <c r="G7" s="526"/>
      <c r="H7" s="526"/>
      <c r="I7" s="526"/>
      <c r="J7" s="526"/>
      <c r="K7" s="618"/>
      <c r="L7" s="618"/>
      <c r="M7" s="618"/>
      <c r="R7" s="756"/>
      <c r="CF7" s="509">
        <v>11</v>
      </c>
    </row>
    <row s="1645" customFormat="1" customHeight="1" ht="4.2">
      <c r="A8" s="625"/>
      <c r="B8" s="570"/>
      <c r="C8" s="355"/>
      <c r="D8" s="355"/>
      <c r="E8" s="355"/>
      <c r="F8" s="355"/>
      <c r="G8" s="979"/>
      <c r="H8" s="979"/>
      <c r="I8" s="979"/>
      <c r="J8" s="979"/>
      <c r="K8" s="1022"/>
      <c r="L8" s="1022"/>
      <c r="M8" s="1022"/>
      <c r="R8" s="1023"/>
      <c r="U8" s="615"/>
      <c r="V8" s="615"/>
      <c r="W8" s="626"/>
      <c r="X8" s="570"/>
      <c r="Y8" s="570"/>
      <c r="Z8" s="570"/>
      <c r="AA8" s="570"/>
      <c r="CF8" s="500">
        <v>4</v>
      </c>
    </row>
    <row customHeight="1" ht="19.95">
      <c r="D9" s="293"/>
      <c r="E9" s="2105" t="s">
        <v>318</v>
      </c>
      <c r="F9" s="2106"/>
      <c r="G9" s="2106"/>
      <c r="H9" s="2106"/>
      <c r="I9" s="2106"/>
      <c r="J9" s="2106"/>
      <c r="K9" s="2106"/>
      <c r="L9" s="2106"/>
      <c r="M9" s="2106"/>
      <c r="N9" s="2106"/>
      <c r="O9" s="2106"/>
      <c r="P9" s="2106"/>
      <c r="Q9" s="2106"/>
      <c r="R9" s="2107"/>
      <c r="S9" s="2131" t="s">
        <v>319</v>
      </c>
      <c r="T9" s="338"/>
      <c r="CF9" s="509">
        <v>19</v>
      </c>
    </row>
    <row customHeight="1" ht="48.29999999999999">
      <c r="D10" s="555" t="s">
        <v>88</v>
      </c>
      <c r="E10" s="2131" t="s">
        <v>88</v>
      </c>
      <c r="F10" s="2131"/>
      <c r="G10" s="525" t="s">
        <v>320</v>
      </c>
      <c r="H10" s="2131" t="s">
        <v>88</v>
      </c>
      <c r="I10" s="2131"/>
      <c r="J10" s="525" t="s">
        <v>856</v>
      </c>
      <c r="K10" s="525" t="s">
        <v>857</v>
      </c>
      <c r="L10" s="2131" t="s">
        <v>88</v>
      </c>
      <c r="M10" s="2131"/>
      <c r="N10" s="525" t="s">
        <v>858</v>
      </c>
      <c r="O10" s="525" t="s">
        <v>859</v>
      </c>
      <c r="P10" s="525" t="s">
        <v>860</v>
      </c>
      <c r="Q10" s="525" t="s">
        <v>861</v>
      </c>
      <c r="R10" s="525" t="s">
        <v>862</v>
      </c>
      <c r="S10" s="2131"/>
      <c r="T10" s="338"/>
      <c r="CF10" s="509">
        <v>46</v>
      </c>
    </row>
    <row s="1646" customFormat="1" customHeight="1" ht="15" hidden="1">
      <c r="A11" s="1056"/>
      <c r="D11" s="1029" t="s">
        <v>119</v>
      </c>
      <c r="E11" s="1029"/>
      <c r="F11" s="1029" t="s">
        <v>103</v>
      </c>
      <c r="G11" s="1029" t="s">
        <v>90</v>
      </c>
      <c r="H11" s="1029"/>
      <c r="I11" s="1029" t="s">
        <v>91</v>
      </c>
      <c r="J11" s="1029" t="s">
        <v>120</v>
      </c>
      <c r="K11" s="1029" t="s">
        <v>92</v>
      </c>
      <c r="L11" s="1029"/>
      <c r="M11" s="1029" t="s">
        <v>93</v>
      </c>
      <c r="N11" s="1029" t="s">
        <v>121</v>
      </c>
      <c r="O11" s="1029" t="s">
        <v>168</v>
      </c>
      <c r="P11" s="1029" t="s">
        <v>169</v>
      </c>
      <c r="Q11" s="1029" t="s">
        <v>170</v>
      </c>
      <c r="R11" s="1029" t="s">
        <v>171</v>
      </c>
      <c r="S11" s="1029" t="s">
        <v>172</v>
      </c>
      <c r="U11" s="615"/>
      <c r="V11" s="615"/>
      <c r="W11" s="615"/>
      <c r="CF11" s="515">
        <v>0</v>
      </c>
    </row>
    <row s="1639" customFormat="1" customHeight="1" ht="1.05">
      <c r="A12" s="619"/>
      <c r="B12" s="366"/>
      <c r="D12" s="552"/>
      <c r="E12" s="350"/>
      <c r="F12" s="350"/>
      <c r="Q12" s="620"/>
      <c r="R12" s="621"/>
      <c r="T12" s="622"/>
      <c r="U12" s="623"/>
      <c r="V12" s="623"/>
      <c r="W12" s="624"/>
      <c r="X12" s="366"/>
      <c r="Y12" s="366"/>
      <c r="Z12" s="366"/>
      <c r="AA12" s="366"/>
      <c r="CF12" s="513">
        <v>1</v>
      </c>
    </row>
    <row s="1645" customFormat="1" customHeight="1" ht="1.05">
      <c r="A13" s="625"/>
      <c r="B13" s="570"/>
      <c r="D13" s="552" t="s">
        <v>394</v>
      </c>
      <c r="E13" s="564"/>
      <c r="F13" s="564"/>
      <c r="G13" s="564"/>
      <c r="H13" s="564"/>
      <c r="I13" s="564"/>
      <c r="J13" s="564"/>
      <c r="K13" s="564"/>
      <c r="L13" s="564"/>
      <c r="M13" s="564"/>
      <c r="N13" s="564"/>
      <c r="O13" s="564"/>
      <c r="P13" s="564"/>
      <c r="Q13" s="564"/>
      <c r="R13" s="564"/>
      <c r="T13" s="338"/>
      <c r="U13" s="615"/>
      <c r="V13" s="615"/>
      <c r="W13" s="626"/>
      <c r="X13" s="570"/>
      <c r="Y13" s="570"/>
      <c r="Z13" s="570"/>
      <c r="AA13" s="570"/>
      <c r="CF13" s="500">
        <v>1</v>
      </c>
    </row>
    <row s="1854" customFormat="1" customHeight="1" ht="15" hidden="1">
      <c r="A14" s="627" t="s">
        <v>126</v>
      </c>
      <c r="B14" s="628"/>
      <c r="C14" s="628"/>
      <c r="D14" s="2384" t="s">
        <v>119</v>
      </c>
      <c r="E14" s="2381" t="s">
        <v>115</v>
      </c>
      <c r="F14" s="2382"/>
      <c r="G14" s="2383"/>
      <c r="H14" s="2387"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387"/>
      <c r="J14" s="2387"/>
      <c r="K14" s="2387"/>
      <c r="L14" s="2387"/>
      <c r="M14" s="2387"/>
      <c r="N14" s="2387"/>
      <c r="O14" s="2387"/>
      <c r="P14" s="2387"/>
      <c r="Q14" s="2387"/>
      <c r="R14" s="2387"/>
      <c r="S14" s="723"/>
      <c r="T14" s="720"/>
      <c r="U14" s="629"/>
      <c r="V14" s="629"/>
      <c r="W14" s="630"/>
      <c r="X14" s="630"/>
      <c r="Y14" s="630"/>
      <c r="Z14" s="630"/>
      <c r="AA14" s="631"/>
      <c r="AB14" s="632"/>
      <c r="AC14" s="2379"/>
      <c r="AD14" s="633"/>
      <c r="AE14" s="634" t="s">
        <v>22</v>
      </c>
      <c r="AF14" s="634"/>
      <c r="AG14" s="635" t="s">
        <v>863</v>
      </c>
      <c r="AH14" s="636">
        <v>3</v>
      </c>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30"/>
      <c r="BW14" s="630"/>
      <c r="BX14" s="630"/>
      <c r="BY14" s="630"/>
      <c r="BZ14" s="630"/>
      <c r="CA14" s="630"/>
      <c r="CB14" s="630"/>
      <c r="CC14" s="630"/>
      <c r="CD14" s="630"/>
      <c r="CE14" s="630"/>
      <c r="CF14" s="297">
        <v>0</v>
      </c>
    </row>
    <row s="1854" customFormat="1" customHeight="1" ht="15" hidden="1">
      <c r="A15" s="627"/>
      <c r="B15" s="628"/>
      <c r="C15" s="628"/>
      <c r="D15" s="2385"/>
      <c r="E15" s="2381" t="s">
        <v>582</v>
      </c>
      <c r="F15" s="2382"/>
      <c r="G15" s="2383"/>
      <c r="H15" s="2387" t="str">
        <f>IF(A14="","",INDEX(DIFFERENTIATION_UNMERGE_AREA,MATCH(A14,DIFFERENTIATION_ID_DIFF,0)))</f>
        <v>Территория 1</v>
      </c>
      <c r="I15" s="2387"/>
      <c r="J15" s="2387"/>
      <c r="K15" s="2387"/>
      <c r="L15" s="2387"/>
      <c r="M15" s="2387"/>
      <c r="N15" s="2387"/>
      <c r="O15" s="2387"/>
      <c r="P15" s="2387"/>
      <c r="Q15" s="2387"/>
      <c r="R15" s="2387"/>
      <c r="S15" s="723"/>
      <c r="T15" s="720"/>
      <c r="U15" s="629"/>
      <c r="V15" s="629"/>
      <c r="W15" s="630"/>
      <c r="X15" s="630"/>
      <c r="Y15" s="630"/>
      <c r="Z15" s="630"/>
      <c r="AA15" s="631"/>
      <c r="AB15" s="632"/>
      <c r="AC15" s="2379"/>
      <c r="AD15" s="633"/>
      <c r="AE15" s="634"/>
      <c r="AF15" s="634"/>
      <c r="AG15" s="635"/>
      <c r="AH15" s="636"/>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30"/>
      <c r="BW15" s="630"/>
      <c r="BX15" s="630"/>
      <c r="BY15" s="630"/>
      <c r="BZ15" s="630"/>
      <c r="CA15" s="630"/>
      <c r="CB15" s="630"/>
      <c r="CC15" s="630"/>
      <c r="CD15" s="630"/>
      <c r="CE15" s="630"/>
      <c r="CF15" s="297">
        <v>0</v>
      </c>
    </row>
    <row s="1854" customFormat="1" customHeight="1" ht="15" hidden="1">
      <c r="A16" s="627"/>
      <c r="B16" s="628"/>
      <c r="C16" s="628"/>
      <c r="D16" s="2385"/>
      <c r="E16" s="2381" t="s">
        <v>583</v>
      </c>
      <c r="F16" s="2382"/>
      <c r="G16" s="2383"/>
      <c r="H16" s="2387" t="str">
        <f>IF(A14="","",INDEX(DIFFERENTIATION_UNMERGE_SYSTEM,MATCH(A14,DIFFERENTIATION_ID_DIFF,0)))</f>
        <v>без дифференциации</v>
      </c>
      <c r="I16" s="2387"/>
      <c r="J16" s="2387"/>
      <c r="K16" s="2387"/>
      <c r="L16" s="2387"/>
      <c r="M16" s="2387"/>
      <c r="N16" s="2387"/>
      <c r="O16" s="2387"/>
      <c r="P16" s="2387"/>
      <c r="Q16" s="2387"/>
      <c r="R16" s="2387"/>
      <c r="S16" s="723"/>
      <c r="T16" s="720"/>
      <c r="U16" s="629"/>
      <c r="V16" s="629"/>
      <c r="W16" s="630"/>
      <c r="X16" s="630"/>
      <c r="Y16" s="630"/>
      <c r="Z16" s="630"/>
      <c r="AA16" s="631"/>
      <c r="AB16" s="632"/>
      <c r="AC16" s="2379"/>
      <c r="AD16" s="633"/>
      <c r="AE16" s="634"/>
      <c r="AF16" s="634"/>
      <c r="AG16" s="635"/>
      <c r="AH16" s="636"/>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30"/>
      <c r="BW16" s="630"/>
      <c r="BX16" s="630"/>
      <c r="BY16" s="630"/>
      <c r="BZ16" s="630"/>
      <c r="CA16" s="630"/>
      <c r="CB16" s="630"/>
      <c r="CC16" s="630"/>
      <c r="CD16" s="630"/>
      <c r="CE16" s="630"/>
      <c r="CF16" s="297">
        <v>0</v>
      </c>
    </row>
    <row s="1854" customFormat="1" customHeight="1" ht="22.5" hidden="1">
      <c r="A17" s="637"/>
      <c r="B17" s="421"/>
      <c r="C17" s="416"/>
      <c r="D17" s="2385"/>
      <c r="E17" s="2380" t="s">
        <v>864</v>
      </c>
      <c r="F17" s="2380"/>
      <c r="G17" s="2380"/>
      <c r="H17" s="2380"/>
      <c r="I17" s="2380"/>
      <c r="J17" s="2380"/>
      <c r="K17" s="2380"/>
      <c r="L17" s="2380"/>
      <c r="M17" s="2380"/>
      <c r="N17" s="2380"/>
      <c r="O17" s="2380"/>
      <c r="P17" s="2380"/>
      <c r="Q17" s="562">
        <f>SUMIF(T18:T19,"i",Q18:Q19)</f>
        <v>0</v>
      </c>
      <c r="R17" s="1021"/>
      <c r="S17" s="901" t="s">
        <v>865</v>
      </c>
      <c r="T17" s="721" t="s">
        <v>866</v>
      </c>
      <c r="U17" s="2378">
        <v>1</v>
      </c>
      <c r="V17" s="2378" t="str">
        <f>INDEX(B_FHD_FLAG_INDEX_1,1,MATCH(A14,B_FHD_FLAG_DIFFERENTIATION,0))</f>
        <v>отсутствует</v>
      </c>
      <c r="W17" s="421"/>
      <c r="X17" s="421"/>
      <c r="Y17" s="421"/>
      <c r="Z17" s="421"/>
      <c r="AA17" s="515"/>
      <c r="AB17" s="421"/>
      <c r="AC17" s="2379"/>
      <c r="AD17" s="633"/>
      <c r="AE17" s="421"/>
      <c r="AF17" s="421"/>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421"/>
      <c r="BW17" s="421"/>
      <c r="BX17" s="421"/>
      <c r="BY17" s="421"/>
      <c r="BZ17" s="421"/>
      <c r="CA17" s="421"/>
      <c r="CB17" s="421"/>
      <c r="CC17" s="421"/>
      <c r="CD17" s="421"/>
      <c r="CE17" s="421"/>
      <c r="CF17" s="297">
        <v>0</v>
      </c>
    </row>
    <row s="1854" customFormat="1" customHeight="1" ht="11.25" hidden="1">
      <c r="A18" s="638"/>
      <c r="B18" s="515"/>
      <c r="C18" s="515"/>
      <c r="D18" s="2385"/>
      <c r="E18" s="639"/>
      <c r="F18" s="639">
        <v>0</v>
      </c>
      <c r="G18" s="639"/>
      <c r="H18" s="639"/>
      <c r="I18" s="639"/>
      <c r="J18" s="639"/>
      <c r="K18" s="639"/>
      <c r="L18" s="639"/>
      <c r="M18" s="639"/>
      <c r="N18" s="639"/>
      <c r="O18" s="639"/>
      <c r="P18" s="639"/>
      <c r="Q18" s="639"/>
      <c r="R18" s="639"/>
      <c r="S18" s="640"/>
      <c r="T18" s="722"/>
      <c r="U18" s="2378"/>
      <c r="V18" s="2378"/>
      <c r="W18" s="515"/>
      <c r="X18" s="515"/>
      <c r="Y18" s="515"/>
      <c r="Z18" s="515"/>
      <c r="AA18" s="515"/>
      <c r="AB18" s="421"/>
      <c r="AC18" s="2379"/>
      <c r="AD18" s="633"/>
      <c r="AE18" s="421"/>
      <c r="AF18" s="421"/>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297">
        <v>0</v>
      </c>
    </row>
    <row s="1854" customFormat="1" customHeight="1" ht="11.25" hidden="1">
      <c r="A19" s="637"/>
      <c r="B19" s="421"/>
      <c r="C19" s="416"/>
      <c r="D19" s="2385"/>
      <c r="E19" s="653" t="s">
        <v>22</v>
      </c>
      <c r="F19" s="654" t="s">
        <v>22</v>
      </c>
      <c r="G19" s="654" t="s">
        <v>22</v>
      </c>
      <c r="H19" s="655" t="s">
        <v>22</v>
      </c>
      <c r="I19" s="655"/>
      <c r="J19" s="655"/>
      <c r="K19" s="655"/>
      <c r="L19" s="655"/>
      <c r="M19" s="655"/>
      <c r="N19" s="655"/>
      <c r="O19" s="655"/>
      <c r="P19" s="655"/>
      <c r="Q19" s="655"/>
      <c r="R19" s="656"/>
      <c r="S19" s="1024"/>
      <c r="T19" s="722"/>
      <c r="U19" s="2378"/>
      <c r="V19" s="2378"/>
      <c r="W19" s="421"/>
      <c r="X19" s="421"/>
      <c r="Y19" s="421"/>
      <c r="Z19" s="421"/>
      <c r="AA19" s="515"/>
      <c r="AB19" s="421"/>
      <c r="AC19" s="2379"/>
      <c r="AD19" s="633"/>
      <c r="AE19" s="421"/>
      <c r="AF19" s="421"/>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421"/>
      <c r="BW19" s="421"/>
      <c r="BX19" s="421"/>
      <c r="BY19" s="421"/>
      <c r="BZ19" s="421"/>
      <c r="CA19" s="421"/>
      <c r="CB19" s="421"/>
      <c r="CC19" s="421"/>
      <c r="CD19" s="421"/>
      <c r="CE19" s="421"/>
      <c r="CF19" s="297">
        <v>0</v>
      </c>
    </row>
    <row s="1854" customFormat="1" customHeight="1" ht="22.5" hidden="1">
      <c r="A20" s="637"/>
      <c r="B20" s="421"/>
      <c r="C20" s="416"/>
      <c r="D20" s="2385"/>
      <c r="E20" s="2380" t="s">
        <v>867</v>
      </c>
      <c r="F20" s="2380"/>
      <c r="G20" s="2380"/>
      <c r="H20" s="2380"/>
      <c r="I20" s="2380"/>
      <c r="J20" s="2380"/>
      <c r="K20" s="2380"/>
      <c r="L20" s="2380"/>
      <c r="M20" s="2380"/>
      <c r="N20" s="2380"/>
      <c r="O20" s="2380"/>
      <c r="P20" s="2380"/>
      <c r="Q20" s="562">
        <f>SUMIF(T21:T22,"i",Q21:Q22)</f>
        <v>0</v>
      </c>
      <c r="R20" s="1021"/>
      <c r="S20" s="713" t="s">
        <v>868</v>
      </c>
      <c r="T20" s="721" t="s">
        <v>866</v>
      </c>
      <c r="U20" s="2378">
        <v>2</v>
      </c>
      <c r="V20" s="2378" t="str">
        <f>INDEX(B_FHD_FLAG_INDEX_2,1,MATCH(A14,B_FHD_FLAG_DIFFERENTIATION,0))</f>
        <v>отсутствует</v>
      </c>
      <c r="W20" s="421"/>
      <c r="X20" s="421"/>
      <c r="Y20" s="421"/>
      <c r="Z20" s="421"/>
      <c r="AA20" s="515"/>
      <c r="AB20" s="421"/>
      <c r="AC20" s="710"/>
      <c r="AD20" s="633"/>
      <c r="AE20" s="421"/>
      <c r="AF20" s="421"/>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421"/>
      <c r="BW20" s="421"/>
      <c r="BX20" s="421"/>
      <c r="BY20" s="421"/>
      <c r="BZ20" s="421"/>
      <c r="CA20" s="421"/>
      <c r="CB20" s="421"/>
      <c r="CC20" s="421"/>
      <c r="CD20" s="421"/>
      <c r="CE20" s="421"/>
      <c r="CF20" s="297">
        <v>0</v>
      </c>
    </row>
    <row s="1854" customFormat="1" customHeight="1" ht="11.25" hidden="1">
      <c r="A21" s="712"/>
      <c r="B21" s="515"/>
      <c r="C21" s="515"/>
      <c r="D21" s="2385"/>
      <c r="E21" s="639"/>
      <c r="F21" s="639">
        <v>0</v>
      </c>
      <c r="G21" s="639"/>
      <c r="H21" s="639"/>
      <c r="I21" s="639"/>
      <c r="J21" s="639"/>
      <c r="K21" s="639"/>
      <c r="L21" s="639"/>
      <c r="M21" s="639"/>
      <c r="N21" s="639"/>
      <c r="O21" s="639"/>
      <c r="P21" s="639"/>
      <c r="Q21" s="639"/>
      <c r="R21" s="639"/>
      <c r="S21" s="640"/>
      <c r="T21" s="722"/>
      <c r="U21" s="2378"/>
      <c r="V21" s="2378"/>
      <c r="W21" s="515"/>
      <c r="X21" s="515"/>
      <c r="Y21" s="515"/>
      <c r="Z21" s="515"/>
      <c r="AA21" s="515"/>
      <c r="AB21" s="421"/>
      <c r="AC21" s="710"/>
      <c r="AD21" s="633"/>
      <c r="AE21" s="421"/>
      <c r="AF21" s="421"/>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297">
        <v>0</v>
      </c>
    </row>
    <row s="1854" customFormat="1" customHeight="1" ht="11.25" hidden="1">
      <c r="A22" s="637"/>
      <c r="B22" s="421"/>
      <c r="C22" s="416"/>
      <c r="D22" s="2386"/>
      <c r="E22" s="653" t="s">
        <v>22</v>
      </c>
      <c r="F22" s="654" t="s">
        <v>22</v>
      </c>
      <c r="G22" s="654" t="s">
        <v>22</v>
      </c>
      <c r="H22" s="655" t="s">
        <v>22</v>
      </c>
      <c r="I22" s="655"/>
      <c r="J22" s="655"/>
      <c r="K22" s="655"/>
      <c r="L22" s="655"/>
      <c r="M22" s="655"/>
      <c r="N22" s="655"/>
      <c r="O22" s="655"/>
      <c r="P22" s="655"/>
      <c r="Q22" s="655"/>
      <c r="R22" s="656"/>
      <c r="S22" s="1024"/>
      <c r="T22" s="722"/>
      <c r="U22" s="2378"/>
      <c r="V22" s="2378"/>
      <c r="W22" s="421"/>
      <c r="X22" s="421"/>
      <c r="Y22" s="421"/>
      <c r="Z22" s="421"/>
      <c r="AA22" s="515"/>
      <c r="AB22" s="421"/>
      <c r="AC22" s="710"/>
      <c r="AD22" s="633"/>
      <c r="AE22" s="421"/>
      <c r="AF22" s="421"/>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421"/>
      <c r="BW22" s="421"/>
      <c r="BX22" s="421"/>
      <c r="BY22" s="421"/>
      <c r="BZ22" s="421"/>
      <c r="CA22" s="421"/>
      <c r="CB22" s="421"/>
      <c r="CC22" s="421"/>
      <c r="CD22" s="421"/>
      <c r="CE22" s="421"/>
      <c r="CF22" s="297">
        <v>0</v>
      </c>
    </row>
    <row customHeight="1" ht="15" hidden="1">
      <c r="A23" s="627" t="s">
        <v>130</v>
      </c>
      <c r="B23" s="628"/>
      <c r="C23" s="628" t="s">
        <v>22</v>
      </c>
      <c r="D23" s="2582" t="s">
        <v>869</v>
      </c>
      <c r="E23" s="2381" t="s">
        <v>115</v>
      </c>
      <c r="F23" s="2382"/>
      <c r="G23" s="2383"/>
      <c r="H23" s="2387" t="str">
        <f>IF(A23="","",INDEX(DIFFERENTIATION_UNMERGE_VD,MATCH(A23,DIFFERENTIATION_ID_DIFF,0)))</f>
        <v>Производство тепловой энергии. Некомбинированная выработка; Передача. Тепловая энергия; Сбыт. Тепловая энергия</v>
      </c>
      <c r="I23" s="2387"/>
      <c r="J23" s="2387"/>
      <c r="K23" s="2387"/>
      <c r="L23" s="2387"/>
      <c r="M23" s="2387"/>
      <c r="N23" s="2387"/>
      <c r="O23" s="2387"/>
      <c r="P23" s="2387"/>
      <c r="Q23" s="2387"/>
      <c r="R23" s="2387"/>
      <c r="S23" s="723"/>
      <c r="T23" s="720"/>
      <c r="U23" s="629"/>
      <c r="V23" s="629"/>
      <c r="W23" s="630"/>
      <c r="X23" s="630"/>
      <c r="Y23" s="630"/>
      <c r="Z23" s="630"/>
      <c r="AA23" s="631"/>
      <c r="AB23" s="632"/>
      <c r="AC23" s="2379"/>
      <c r="AD23" s="633"/>
      <c r="AE23" s="634" t="s">
        <v>22</v>
      </c>
      <c r="AF23" s="634"/>
      <c r="AG23" s="635" t="s">
        <v>863</v>
      </c>
      <c r="AH23" s="636">
        <v>3</v>
      </c>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30"/>
      <c r="BW23" s="630"/>
      <c r="BX23" s="630"/>
      <c r="BY23" s="630"/>
      <c r="BZ23" s="630"/>
      <c r="CA23" s="630"/>
      <c r="CB23" s="630"/>
      <c r="CC23" s="630"/>
      <c r="CD23" s="630"/>
      <c r="CE23" s="630"/>
      <c r="CF23" s="1854"/>
    </row>
    <row customHeight="1" ht="15" hidden="1">
      <c r="A24" s="627"/>
      <c r="B24" s="628"/>
      <c r="C24" s="628"/>
      <c r="D24" s="2583"/>
      <c r="E24" s="2381" t="s">
        <v>582</v>
      </c>
      <c r="F24" s="2382"/>
      <c r="G24" s="2383"/>
      <c r="H24" s="2387" t="str">
        <f>IF(A23="","",INDEX(DIFFERENTIATION_UNMERGE_AREA,MATCH(A23,DIFFERENTIATION_ID_DIFF,0)))</f>
        <v>Территория 3</v>
      </c>
      <c r="I24" s="2387"/>
      <c r="J24" s="2387"/>
      <c r="K24" s="2387"/>
      <c r="L24" s="2387"/>
      <c r="M24" s="2387"/>
      <c r="N24" s="2387"/>
      <c r="O24" s="2387"/>
      <c r="P24" s="2387"/>
      <c r="Q24" s="2387"/>
      <c r="R24" s="2387"/>
      <c r="S24" s="723"/>
      <c r="T24" s="720"/>
      <c r="U24" s="629"/>
      <c r="V24" s="629"/>
      <c r="W24" s="630"/>
      <c r="X24" s="630"/>
      <c r="Y24" s="630"/>
      <c r="Z24" s="630"/>
      <c r="AA24" s="631"/>
      <c r="AB24" s="632"/>
      <c r="AC24" s="2379"/>
      <c r="AD24" s="633"/>
      <c r="AE24" s="634"/>
      <c r="AF24" s="634"/>
      <c r="AG24" s="635"/>
      <c r="AH24" s="636"/>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30"/>
      <c r="BW24" s="630"/>
      <c r="BX24" s="630"/>
      <c r="BY24" s="630"/>
      <c r="BZ24" s="630"/>
      <c r="CA24" s="630"/>
      <c r="CB24" s="630"/>
      <c r="CC24" s="630"/>
      <c r="CD24" s="630"/>
      <c r="CE24" s="630"/>
      <c r="CF24" s="1854"/>
    </row>
    <row customHeight="1" ht="15" hidden="1">
      <c r="A25" s="627"/>
      <c r="B25" s="628"/>
      <c r="C25" s="628"/>
      <c r="D25" s="2583"/>
      <c r="E25" s="2381" t="s">
        <v>583</v>
      </c>
      <c r="F25" s="2382"/>
      <c r="G25" s="2383"/>
      <c r="H25" s="2387" t="str">
        <f>IF(A23="","",INDEX(DIFFERENTIATION_UNMERGE_SYSTEM,MATCH(A23,DIFFERENTIATION_ID_DIFF,0)))</f>
        <v>без дифференциации</v>
      </c>
      <c r="I25" s="2387"/>
      <c r="J25" s="2387"/>
      <c r="K25" s="2387"/>
      <c r="L25" s="2387"/>
      <c r="M25" s="2387"/>
      <c r="N25" s="2387"/>
      <c r="O25" s="2387"/>
      <c r="P25" s="2387"/>
      <c r="Q25" s="2387"/>
      <c r="R25" s="2387"/>
      <c r="S25" s="723"/>
      <c r="T25" s="720"/>
      <c r="U25" s="629"/>
      <c r="V25" s="629"/>
      <c r="W25" s="630"/>
      <c r="X25" s="630"/>
      <c r="Y25" s="630"/>
      <c r="Z25" s="630"/>
      <c r="AA25" s="631"/>
      <c r="AB25" s="632"/>
      <c r="AC25" s="2379"/>
      <c r="AD25" s="633"/>
      <c r="AE25" s="634"/>
      <c r="AF25" s="634"/>
      <c r="AG25" s="635"/>
      <c r="AH25" s="636"/>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30"/>
      <c r="BW25" s="630"/>
      <c r="BX25" s="630"/>
      <c r="BY25" s="630"/>
      <c r="BZ25" s="630"/>
      <c r="CA25" s="630"/>
      <c r="CB25" s="630"/>
      <c r="CC25" s="630"/>
      <c r="CD25" s="630"/>
      <c r="CE25" s="630"/>
      <c r="CF25" s="1854"/>
    </row>
    <row customHeight="1" ht="24.75" hidden="1">
      <c r="A26" s="1810"/>
      <c r="B26" s="1164"/>
      <c r="C26" s="416"/>
      <c r="D26" s="2583"/>
      <c r="E26" s="2380" t="s">
        <v>864</v>
      </c>
      <c r="F26" s="2380"/>
      <c r="G26" s="2380"/>
      <c r="H26" s="2380"/>
      <c r="I26" s="2380"/>
      <c r="J26" s="2380"/>
      <c r="K26" s="2380"/>
      <c r="L26" s="2380"/>
      <c r="M26" s="2380"/>
      <c r="N26" s="2380"/>
      <c r="O26" s="2380"/>
      <c r="P26" s="2380"/>
      <c r="Q26" s="562">
        <f>SUMIF(T27:T28,"i",Q27:Q28)</f>
        <v>0</v>
      </c>
      <c r="R26" s="1021"/>
      <c r="S26" s="1802" t="s">
        <v>865</v>
      </c>
      <c r="T26" s="721" t="s">
        <v>866</v>
      </c>
      <c r="U26" s="2378">
        <v>1</v>
      </c>
      <c r="V26" s="2378" t="s">
        <v>595</v>
      </c>
      <c r="W26" s="1164"/>
      <c r="X26" s="1164"/>
      <c r="Y26" s="1164"/>
      <c r="Z26" s="1164"/>
      <c r="AA26" s="1640"/>
      <c r="AB26" s="1164"/>
      <c r="AC26" s="2379"/>
      <c r="AD26" s="633"/>
      <c r="AE26" s="1164"/>
      <c r="AF26" s="1164"/>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164"/>
      <c r="BW26" s="1164"/>
      <c r="BX26" s="1164"/>
      <c r="BY26" s="1164"/>
      <c r="BZ26" s="1164"/>
      <c r="CA26" s="1164"/>
      <c r="CB26" s="1164"/>
      <c r="CC26" s="1164"/>
      <c r="CD26" s="1164"/>
      <c r="CE26" s="1164"/>
      <c r="CF26" s="1854"/>
    </row>
    <row customHeight="1" ht="11.25" hidden="1">
      <c r="A27" s="1797"/>
      <c r="B27" s="1640"/>
      <c r="C27" s="1640"/>
      <c r="D27" s="2583"/>
      <c r="E27" s="639"/>
      <c r="F27" s="639">
        <v>0</v>
      </c>
      <c r="G27" s="639"/>
      <c r="H27" s="639"/>
      <c r="I27" s="639"/>
      <c r="J27" s="639"/>
      <c r="K27" s="639"/>
      <c r="L27" s="639"/>
      <c r="M27" s="639"/>
      <c r="N27" s="639"/>
      <c r="O27" s="639"/>
      <c r="P27" s="639"/>
      <c r="Q27" s="639"/>
      <c r="R27" s="639"/>
      <c r="S27" s="640"/>
      <c r="T27" s="722"/>
      <c r="U27" s="2378"/>
      <c r="V27" s="2378"/>
      <c r="W27" s="1640"/>
      <c r="X27" s="1640"/>
      <c r="Y27" s="1640"/>
      <c r="Z27" s="1640"/>
      <c r="AA27" s="1640"/>
      <c r="AB27" s="1164"/>
      <c r="AC27" s="2379"/>
      <c r="AD27" s="633"/>
      <c r="AE27" s="1164"/>
      <c r="AF27" s="1164"/>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854"/>
    </row>
    <row customHeight="1" ht="11.25" hidden="1">
      <c r="A28" s="1810"/>
      <c r="B28" s="1164"/>
      <c r="C28" s="416"/>
      <c r="D28" s="2583"/>
      <c r="E28" s="653" t="s">
        <v>22</v>
      </c>
      <c r="F28" s="1172" t="s">
        <v>22</v>
      </c>
      <c r="G28" s="1172" t="s">
        <v>870</v>
      </c>
      <c r="H28" s="655" t="s">
        <v>22</v>
      </c>
      <c r="I28" s="655"/>
      <c r="J28" s="655"/>
      <c r="K28" s="655"/>
      <c r="L28" s="655"/>
      <c r="M28" s="655"/>
      <c r="N28" s="655"/>
      <c r="O28" s="655"/>
      <c r="P28" s="655"/>
      <c r="Q28" s="655"/>
      <c r="R28" s="656"/>
      <c r="S28" s="657"/>
      <c r="T28" s="722"/>
      <c r="U28" s="2378"/>
      <c r="V28" s="2378"/>
      <c r="W28" s="1164"/>
      <c r="X28" s="1164"/>
      <c r="Y28" s="1164"/>
      <c r="Z28" s="1164"/>
      <c r="AA28" s="1640"/>
      <c r="AB28" s="1164"/>
      <c r="AC28" s="2379"/>
      <c r="AD28" s="633"/>
      <c r="AE28" s="1164"/>
      <c r="AF28" s="1164"/>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164"/>
      <c r="BW28" s="1164"/>
      <c r="BX28" s="1164"/>
      <c r="BY28" s="1164"/>
      <c r="BZ28" s="1164"/>
      <c r="CA28" s="1164"/>
      <c r="CB28" s="1164"/>
      <c r="CC28" s="1164"/>
      <c r="CD28" s="1164"/>
      <c r="CE28" s="1164"/>
      <c r="CF28" s="1854"/>
    </row>
    <row customHeight="1" ht="5.25" hidden="1">
      <c r="A29" s="1797"/>
      <c r="B29" s="1640"/>
      <c r="C29" s="1640"/>
      <c r="D29" s="2583"/>
      <c r="E29" s="1043"/>
      <c r="F29" s="1043"/>
      <c r="G29" s="1043"/>
      <c r="H29" s="1043"/>
      <c r="I29" s="1043"/>
      <c r="J29" s="1043"/>
      <c r="K29" s="1043"/>
      <c r="L29" s="1043"/>
      <c r="M29" s="1043"/>
      <c r="N29" s="1043"/>
      <c r="O29" s="1043"/>
      <c r="P29" s="1043"/>
      <c r="Q29" s="1044"/>
      <c r="R29" s="1045"/>
      <c r="S29" s="1046"/>
      <c r="T29" s="721" t="s">
        <v>866</v>
      </c>
      <c r="U29" s="2378">
        <v>1</v>
      </c>
      <c r="V29" s="2378" t="s">
        <v>595</v>
      </c>
      <c r="W29" s="1640"/>
      <c r="X29" s="1640"/>
      <c r="Y29" s="1640"/>
      <c r="Z29" s="1640"/>
      <c r="AA29" s="1640"/>
      <c r="AB29" s="1640"/>
      <c r="AC29" s="1041"/>
      <c r="AD29" s="1042"/>
      <c r="AE29" s="1640"/>
      <c r="AF29" s="1640"/>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640"/>
      <c r="BW29" s="1640"/>
      <c r="BX29" s="1640"/>
      <c r="BY29" s="1640"/>
      <c r="BZ29" s="1640"/>
      <c r="CA29" s="1640"/>
      <c r="CB29" s="1640"/>
      <c r="CC29" s="1640"/>
      <c r="CD29" s="1640"/>
      <c r="CE29" s="1640"/>
      <c r="CF29" s="1320"/>
    </row>
    <row customHeight="1" ht="5.25" hidden="1">
      <c r="A30" s="1797"/>
      <c r="B30" s="1640"/>
      <c r="C30" s="1640"/>
      <c r="D30" s="2583"/>
      <c r="E30" s="639"/>
      <c r="F30" s="639"/>
      <c r="G30" s="639"/>
      <c r="H30" s="639"/>
      <c r="I30" s="639"/>
      <c r="J30" s="639"/>
      <c r="K30" s="639"/>
      <c r="L30" s="639"/>
      <c r="M30" s="639"/>
      <c r="N30" s="639"/>
      <c r="O30" s="639"/>
      <c r="P30" s="639"/>
      <c r="Q30" s="639"/>
      <c r="R30" s="639"/>
      <c r="S30" s="640"/>
      <c r="T30" s="722"/>
      <c r="U30" s="2378"/>
      <c r="V30" s="2378"/>
      <c r="W30" s="1640"/>
      <c r="X30" s="1640"/>
      <c r="Y30" s="1640"/>
      <c r="Z30" s="1640"/>
      <c r="AA30" s="1640"/>
      <c r="AB30" s="1640"/>
      <c r="AC30" s="1041"/>
      <c r="AD30" s="1042"/>
      <c r="AE30" s="1640"/>
      <c r="AF30" s="1640"/>
      <c r="AG30" s="1640"/>
      <c r="AH30" s="1640"/>
      <c r="AI30" s="1640"/>
      <c r="AJ30" s="1640"/>
      <c r="AK30" s="1640"/>
      <c r="AL30" s="1640"/>
      <c r="AM30" s="1640"/>
      <c r="AN30" s="1640"/>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1640"/>
      <c r="BX30" s="1640"/>
      <c r="BY30" s="1640"/>
      <c r="BZ30" s="1640"/>
      <c r="CA30" s="1640"/>
      <c r="CB30" s="1640"/>
      <c r="CC30" s="1640"/>
      <c r="CD30" s="1640"/>
      <c r="CE30" s="1640"/>
      <c r="CF30" s="1320"/>
    </row>
    <row customHeight="1" ht="5.25" hidden="1">
      <c r="A31" s="1797"/>
      <c r="B31" s="1640"/>
      <c r="C31" s="1640"/>
      <c r="D31" s="2584"/>
      <c r="E31" s="1047"/>
      <c r="F31" s="1048"/>
      <c r="G31" s="1048"/>
      <c r="H31" s="1049"/>
      <c r="I31" s="1049"/>
      <c r="J31" s="1049"/>
      <c r="K31" s="1049"/>
      <c r="L31" s="1049"/>
      <c r="M31" s="1049"/>
      <c r="N31" s="1049"/>
      <c r="O31" s="1049"/>
      <c r="P31" s="1049"/>
      <c r="Q31" s="1049"/>
      <c r="R31" s="950"/>
      <c r="S31" s="1050"/>
      <c r="T31" s="722"/>
      <c r="U31" s="2378"/>
      <c r="V31" s="2378"/>
      <c r="W31" s="1640"/>
      <c r="X31" s="1640"/>
      <c r="Y31" s="1640"/>
      <c r="Z31" s="1640"/>
      <c r="AA31" s="1640"/>
      <c r="AB31" s="1640"/>
      <c r="AC31" s="1041"/>
      <c r="AD31" s="1042"/>
      <c r="AE31" s="1640"/>
      <c r="AF31" s="1640"/>
      <c r="AG31" s="1640"/>
      <c r="AH31" s="1640"/>
      <c r="AI31" s="1640"/>
      <c r="AJ31" s="1640"/>
      <c r="AK31" s="1640"/>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640"/>
      <c r="BW31" s="1640"/>
      <c r="BX31" s="1640"/>
      <c r="BY31" s="1640"/>
      <c r="BZ31" s="1640"/>
      <c r="CA31" s="1640"/>
      <c r="CB31" s="1640"/>
      <c r="CC31" s="1640"/>
      <c r="CD31" s="1640"/>
      <c r="CE31" s="1640"/>
      <c r="CF31" s="1320"/>
    </row>
    <row customHeight="1" ht="15" hidden="1">
      <c r="A32" s="627" t="s">
        <v>132</v>
      </c>
      <c r="B32" s="628"/>
      <c r="C32" s="628" t="s">
        <v>22</v>
      </c>
      <c r="D32" s="2582" t="s">
        <v>871</v>
      </c>
      <c r="E32" s="2381" t="s">
        <v>115</v>
      </c>
      <c r="F32" s="2382"/>
      <c r="G32" s="2383"/>
      <c r="H32" s="2387" t="str">
        <f>IF(A32="","",INDEX(DIFFERENTIATION_UNMERGE_VD,MATCH(A32,DIFFERENTIATION_ID_DIFF,0)))</f>
        <v>Производство тепловой энергии. Некомбинированная выработка; Передача. Тепловая энергия</v>
      </c>
      <c r="I32" s="2387"/>
      <c r="J32" s="2387"/>
      <c r="K32" s="2387"/>
      <c r="L32" s="2387"/>
      <c r="M32" s="2387"/>
      <c r="N32" s="2387"/>
      <c r="O32" s="2387"/>
      <c r="P32" s="2387"/>
      <c r="Q32" s="2387"/>
      <c r="R32" s="2387"/>
      <c r="S32" s="723"/>
      <c r="T32" s="720"/>
      <c r="U32" s="629"/>
      <c r="V32" s="629"/>
      <c r="W32" s="630"/>
      <c r="X32" s="630"/>
      <c r="Y32" s="630"/>
      <c r="Z32" s="630"/>
      <c r="AA32" s="631"/>
      <c r="AB32" s="632"/>
      <c r="AC32" s="2379"/>
      <c r="AD32" s="633"/>
      <c r="AE32" s="634" t="s">
        <v>22</v>
      </c>
      <c r="AF32" s="634"/>
      <c r="AG32" s="635" t="s">
        <v>863</v>
      </c>
      <c r="AH32" s="636">
        <v>3</v>
      </c>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30"/>
      <c r="BW32" s="630"/>
      <c r="BX32" s="630"/>
      <c r="BY32" s="630"/>
      <c r="BZ32" s="630"/>
      <c r="CA32" s="630"/>
      <c r="CB32" s="630"/>
      <c r="CC32" s="630"/>
      <c r="CD32" s="630"/>
      <c r="CE32" s="630"/>
      <c r="CF32" s="1854"/>
    </row>
    <row customHeight="1" ht="15" hidden="1">
      <c r="A33" s="627"/>
      <c r="B33" s="628"/>
      <c r="C33" s="628"/>
      <c r="D33" s="2583"/>
      <c r="E33" s="2381" t="s">
        <v>582</v>
      </c>
      <c r="F33" s="2382"/>
      <c r="G33" s="2383"/>
      <c r="H33" s="2387" t="str">
        <f>IF(A32="","",INDEX(DIFFERENTIATION_UNMERGE_AREA,MATCH(A32,DIFFERENTIATION_ID_DIFF,0)))</f>
        <v>Территория 2</v>
      </c>
      <c r="I33" s="2387"/>
      <c r="J33" s="2387"/>
      <c r="K33" s="2387"/>
      <c r="L33" s="2387"/>
      <c r="M33" s="2387"/>
      <c r="N33" s="2387"/>
      <c r="O33" s="2387"/>
      <c r="P33" s="2387"/>
      <c r="Q33" s="2387"/>
      <c r="R33" s="2387"/>
      <c r="S33" s="723"/>
      <c r="T33" s="720"/>
      <c r="U33" s="629"/>
      <c r="V33" s="629"/>
      <c r="W33" s="630"/>
      <c r="X33" s="630"/>
      <c r="Y33" s="630"/>
      <c r="Z33" s="630"/>
      <c r="AA33" s="631"/>
      <c r="AB33" s="632"/>
      <c r="AC33" s="2379"/>
      <c r="AD33" s="633"/>
      <c r="AE33" s="634"/>
      <c r="AF33" s="634"/>
      <c r="AG33" s="635"/>
      <c r="AH33" s="636"/>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30"/>
      <c r="BW33" s="630"/>
      <c r="BX33" s="630"/>
      <c r="BY33" s="630"/>
      <c r="BZ33" s="630"/>
      <c r="CA33" s="630"/>
      <c r="CB33" s="630"/>
      <c r="CC33" s="630"/>
      <c r="CD33" s="630"/>
      <c r="CE33" s="630"/>
      <c r="CF33" s="1854"/>
    </row>
    <row customHeight="1" ht="15" hidden="1">
      <c r="A34" s="627"/>
      <c r="B34" s="628"/>
      <c r="C34" s="628"/>
      <c r="D34" s="2583"/>
      <c r="E34" s="2381" t="s">
        <v>583</v>
      </c>
      <c r="F34" s="2382"/>
      <c r="G34" s="2383"/>
      <c r="H34" s="2387" t="str">
        <f>IF(A32="","",INDEX(DIFFERENTIATION_UNMERGE_SYSTEM,MATCH(A32,DIFFERENTIATION_ID_DIFF,0)))</f>
        <v>без дифференциации</v>
      </c>
      <c r="I34" s="2387"/>
      <c r="J34" s="2387"/>
      <c r="K34" s="2387"/>
      <c r="L34" s="2387"/>
      <c r="M34" s="2387"/>
      <c r="N34" s="2387"/>
      <c r="O34" s="2387"/>
      <c r="P34" s="2387"/>
      <c r="Q34" s="2387"/>
      <c r="R34" s="2387"/>
      <c r="S34" s="723"/>
      <c r="T34" s="720"/>
      <c r="U34" s="629"/>
      <c r="V34" s="629"/>
      <c r="W34" s="630"/>
      <c r="X34" s="630"/>
      <c r="Y34" s="630"/>
      <c r="Z34" s="630"/>
      <c r="AA34" s="631"/>
      <c r="AB34" s="632"/>
      <c r="AC34" s="2379"/>
      <c r="AD34" s="633"/>
      <c r="AE34" s="634"/>
      <c r="AF34" s="634"/>
      <c r="AG34" s="635"/>
      <c r="AH34" s="636"/>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30"/>
      <c r="BW34" s="630"/>
      <c r="BX34" s="630"/>
      <c r="BY34" s="630"/>
      <c r="BZ34" s="630"/>
      <c r="CA34" s="630"/>
      <c r="CB34" s="630"/>
      <c r="CC34" s="630"/>
      <c r="CD34" s="630"/>
      <c r="CE34" s="630"/>
      <c r="CF34" s="1854"/>
    </row>
    <row customHeight="1" ht="24.75" hidden="1">
      <c r="A35" s="1810"/>
      <c r="B35" s="1164"/>
      <c r="C35" s="416"/>
      <c r="D35" s="2583"/>
      <c r="E35" s="2380" t="s">
        <v>864</v>
      </c>
      <c r="F35" s="2380"/>
      <c r="G35" s="2380"/>
      <c r="H35" s="2380"/>
      <c r="I35" s="2380"/>
      <c r="J35" s="2380"/>
      <c r="K35" s="2380"/>
      <c r="L35" s="2380"/>
      <c r="M35" s="2380"/>
      <c r="N35" s="2380"/>
      <c r="O35" s="2380"/>
      <c r="P35" s="2380"/>
      <c r="Q35" s="562">
        <f>SUMIF(T36:T37,"i",Q36:Q37)</f>
        <v>0</v>
      </c>
      <c r="R35" s="1021"/>
      <c r="S35" s="1802" t="s">
        <v>865</v>
      </c>
      <c r="T35" s="721" t="s">
        <v>866</v>
      </c>
      <c r="U35" s="2378">
        <v>1</v>
      </c>
      <c r="V35" s="2378" t="s">
        <v>595</v>
      </c>
      <c r="W35" s="1164"/>
      <c r="X35" s="1164"/>
      <c r="Y35" s="1164"/>
      <c r="Z35" s="1164"/>
      <c r="AA35" s="1640"/>
      <c r="AB35" s="1164"/>
      <c r="AC35" s="2379"/>
      <c r="AD35" s="633"/>
      <c r="AE35" s="1164"/>
      <c r="AF35" s="1164"/>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164"/>
      <c r="BW35" s="1164"/>
      <c r="BX35" s="1164"/>
      <c r="BY35" s="1164"/>
      <c r="BZ35" s="1164"/>
      <c r="CA35" s="1164"/>
      <c r="CB35" s="1164"/>
      <c r="CC35" s="1164"/>
      <c r="CD35" s="1164"/>
      <c r="CE35" s="1164"/>
      <c r="CF35" s="1854"/>
    </row>
    <row customHeight="1" ht="11.25" hidden="1">
      <c r="A36" s="1797"/>
      <c r="B36" s="1640"/>
      <c r="C36" s="1640"/>
      <c r="D36" s="2583"/>
      <c r="E36" s="639"/>
      <c r="F36" s="639">
        <v>0</v>
      </c>
      <c r="G36" s="639"/>
      <c r="H36" s="639"/>
      <c r="I36" s="639"/>
      <c r="J36" s="639"/>
      <c r="K36" s="639"/>
      <c r="L36" s="639"/>
      <c r="M36" s="639"/>
      <c r="N36" s="639"/>
      <c r="O36" s="639"/>
      <c r="P36" s="639"/>
      <c r="Q36" s="639"/>
      <c r="R36" s="639"/>
      <c r="S36" s="640"/>
      <c r="T36" s="722"/>
      <c r="U36" s="2378"/>
      <c r="V36" s="2378"/>
      <c r="W36" s="1640"/>
      <c r="X36" s="1640"/>
      <c r="Y36" s="1640"/>
      <c r="Z36" s="1640"/>
      <c r="AA36" s="1640"/>
      <c r="AB36" s="1164"/>
      <c r="AC36" s="2379"/>
      <c r="AD36" s="633"/>
      <c r="AE36" s="1164"/>
      <c r="AF36" s="1164"/>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854"/>
    </row>
    <row customHeight="1" ht="11.25" hidden="1">
      <c r="A37" s="1810"/>
      <c r="B37" s="1164"/>
      <c r="C37" s="416"/>
      <c r="D37" s="2583"/>
      <c r="E37" s="653" t="s">
        <v>22</v>
      </c>
      <c r="F37" s="1172" t="s">
        <v>22</v>
      </c>
      <c r="G37" s="1172" t="s">
        <v>870</v>
      </c>
      <c r="H37" s="655" t="s">
        <v>22</v>
      </c>
      <c r="I37" s="655"/>
      <c r="J37" s="655"/>
      <c r="K37" s="655"/>
      <c r="L37" s="655"/>
      <c r="M37" s="655"/>
      <c r="N37" s="655"/>
      <c r="O37" s="655"/>
      <c r="P37" s="655"/>
      <c r="Q37" s="655"/>
      <c r="R37" s="656"/>
      <c r="S37" s="657"/>
      <c r="T37" s="722"/>
      <c r="U37" s="2378"/>
      <c r="V37" s="2378"/>
      <c r="W37" s="1164"/>
      <c r="X37" s="1164"/>
      <c r="Y37" s="1164"/>
      <c r="Z37" s="1164"/>
      <c r="AA37" s="1640"/>
      <c r="AB37" s="1164"/>
      <c r="AC37" s="2379"/>
      <c r="AD37" s="633"/>
      <c r="AE37" s="1164"/>
      <c r="AF37" s="1164"/>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164"/>
      <c r="BW37" s="1164"/>
      <c r="BX37" s="1164"/>
      <c r="BY37" s="1164"/>
      <c r="BZ37" s="1164"/>
      <c r="CA37" s="1164"/>
      <c r="CB37" s="1164"/>
      <c r="CC37" s="1164"/>
      <c r="CD37" s="1164"/>
      <c r="CE37" s="1164"/>
      <c r="CF37" s="1854"/>
    </row>
    <row customHeight="1" ht="5.25" hidden="1">
      <c r="A38" s="1797"/>
      <c r="B38" s="1640"/>
      <c r="C38" s="1640"/>
      <c r="D38" s="2583"/>
      <c r="E38" s="1043"/>
      <c r="F38" s="1043"/>
      <c r="G38" s="1043"/>
      <c r="H38" s="1043"/>
      <c r="I38" s="1043"/>
      <c r="J38" s="1043"/>
      <c r="K38" s="1043"/>
      <c r="L38" s="1043"/>
      <c r="M38" s="1043"/>
      <c r="N38" s="1043"/>
      <c r="O38" s="1043"/>
      <c r="P38" s="1043"/>
      <c r="Q38" s="1044"/>
      <c r="R38" s="1045"/>
      <c r="S38" s="1046"/>
      <c r="T38" s="721" t="s">
        <v>866</v>
      </c>
      <c r="U38" s="2378">
        <v>1</v>
      </c>
      <c r="V38" s="2378" t="s">
        <v>595</v>
      </c>
      <c r="W38" s="1640"/>
      <c r="X38" s="1640"/>
      <c r="Y38" s="1640"/>
      <c r="Z38" s="1640"/>
      <c r="AA38" s="1640"/>
      <c r="AB38" s="1640"/>
      <c r="AC38" s="1041"/>
      <c r="AD38" s="1042"/>
      <c r="AE38" s="1640"/>
      <c r="AF38" s="1640"/>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640"/>
      <c r="BW38" s="1640"/>
      <c r="BX38" s="1640"/>
      <c r="BY38" s="1640"/>
      <c r="BZ38" s="1640"/>
      <c r="CA38" s="1640"/>
      <c r="CB38" s="1640"/>
      <c r="CC38" s="1640"/>
      <c r="CD38" s="1640"/>
      <c r="CE38" s="1640"/>
      <c r="CF38" s="1320"/>
    </row>
    <row customHeight="1" ht="5.25" hidden="1">
      <c r="A39" s="1797"/>
      <c r="B39" s="1640"/>
      <c r="C39" s="1640"/>
      <c r="D39" s="2583"/>
      <c r="E39" s="639"/>
      <c r="F39" s="639"/>
      <c r="G39" s="639"/>
      <c r="H39" s="639"/>
      <c r="I39" s="639"/>
      <c r="J39" s="639"/>
      <c r="K39" s="639"/>
      <c r="L39" s="639"/>
      <c r="M39" s="639"/>
      <c r="N39" s="639"/>
      <c r="O39" s="639"/>
      <c r="P39" s="639"/>
      <c r="Q39" s="639"/>
      <c r="R39" s="639"/>
      <c r="S39" s="640"/>
      <c r="T39" s="722"/>
      <c r="U39" s="2378"/>
      <c r="V39" s="2378"/>
      <c r="W39" s="1640"/>
      <c r="X39" s="1640"/>
      <c r="Y39" s="1640"/>
      <c r="Z39" s="1640"/>
      <c r="AA39" s="1640"/>
      <c r="AB39" s="1640"/>
      <c r="AC39" s="1041"/>
      <c r="AD39" s="1042"/>
      <c r="AE39" s="1640"/>
      <c r="AF39" s="1640"/>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320"/>
    </row>
    <row customHeight="1" ht="5.25" hidden="1">
      <c r="A40" s="1797"/>
      <c r="B40" s="1640"/>
      <c r="C40" s="1640"/>
      <c r="D40" s="2584"/>
      <c r="E40" s="1047"/>
      <c r="F40" s="1048"/>
      <c r="G40" s="1048"/>
      <c r="H40" s="1049"/>
      <c r="I40" s="1049"/>
      <c r="J40" s="1049"/>
      <c r="K40" s="1049"/>
      <c r="L40" s="1049"/>
      <c r="M40" s="1049"/>
      <c r="N40" s="1049"/>
      <c r="O40" s="1049"/>
      <c r="P40" s="1049"/>
      <c r="Q40" s="1049"/>
      <c r="R40" s="950"/>
      <c r="S40" s="1050"/>
      <c r="T40" s="722"/>
      <c r="U40" s="2378"/>
      <c r="V40" s="2378"/>
      <c r="W40" s="1640"/>
      <c r="X40" s="1640"/>
      <c r="Y40" s="1640"/>
      <c r="Z40" s="1640"/>
      <c r="AA40" s="1640"/>
      <c r="AB40" s="1640"/>
      <c r="AC40" s="1041"/>
      <c r="AD40" s="1042"/>
      <c r="AE40" s="1640"/>
      <c r="AF40" s="1640"/>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640"/>
      <c r="BW40" s="1640"/>
      <c r="BX40" s="1640"/>
      <c r="BY40" s="1640"/>
      <c r="BZ40" s="1640"/>
      <c r="CA40" s="1640"/>
      <c r="CB40" s="1640"/>
      <c r="CC40" s="1640"/>
      <c r="CD40" s="1640"/>
      <c r="CE40" s="1640"/>
      <c r="CF40" s="1320"/>
    </row>
    <row customHeight="1" ht="15" hidden="1">
      <c r="A41" s="627" t="s">
        <v>134</v>
      </c>
      <c r="B41" s="628"/>
      <c r="C41" s="628" t="s">
        <v>22</v>
      </c>
      <c r="D41" s="2582" t="s">
        <v>872</v>
      </c>
      <c r="E41" s="2381" t="s">
        <v>115</v>
      </c>
      <c r="F41" s="2382"/>
      <c r="G41" s="2383"/>
      <c r="H41" s="2387" t="str">
        <f>IF(A41="","",INDEX(DIFFERENTIATION_UNMERGE_VD,MATCH(A41,DIFFERENTIATION_ID_DIFF,0)))</f>
        <v>Производство. Теплоноситель</v>
      </c>
      <c r="I41" s="2387"/>
      <c r="J41" s="2387"/>
      <c r="K41" s="2387"/>
      <c r="L41" s="2387"/>
      <c r="M41" s="2387"/>
      <c r="N41" s="2387"/>
      <c r="O41" s="2387"/>
      <c r="P41" s="2387"/>
      <c r="Q41" s="2387"/>
      <c r="R41" s="2387"/>
      <c r="S41" s="723"/>
      <c r="T41" s="720"/>
      <c r="U41" s="629"/>
      <c r="V41" s="629"/>
      <c r="W41" s="630"/>
      <c r="X41" s="630"/>
      <c r="Y41" s="630"/>
      <c r="Z41" s="630"/>
      <c r="AA41" s="631"/>
      <c r="AB41" s="632"/>
      <c r="AC41" s="2379"/>
      <c r="AD41" s="633"/>
      <c r="AE41" s="634" t="s">
        <v>22</v>
      </c>
      <c r="AF41" s="634"/>
      <c r="AG41" s="635" t="s">
        <v>863</v>
      </c>
      <c r="AH41" s="636">
        <v>3</v>
      </c>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30"/>
      <c r="BW41" s="630"/>
      <c r="BX41" s="630"/>
      <c r="BY41" s="630"/>
      <c r="BZ41" s="630"/>
      <c r="CA41" s="630"/>
      <c r="CB41" s="630"/>
      <c r="CC41" s="630"/>
      <c r="CD41" s="630"/>
      <c r="CE41" s="630"/>
      <c r="CF41" s="1854"/>
    </row>
    <row customHeight="1" ht="15" hidden="1">
      <c r="A42" s="627"/>
      <c r="B42" s="628"/>
      <c r="C42" s="628"/>
      <c r="D42" s="2583"/>
      <c r="E42" s="2381" t="s">
        <v>582</v>
      </c>
      <c r="F42" s="2382"/>
      <c r="G42" s="2383"/>
      <c r="H42" s="2387" t="str">
        <f>IF(A41="","",INDEX(DIFFERENTIATION_UNMERGE_AREA,MATCH(A41,DIFFERENTIATION_ID_DIFF,0)))</f>
        <v>Территория 1</v>
      </c>
      <c r="I42" s="2387"/>
      <c r="J42" s="2387"/>
      <c r="K42" s="2387"/>
      <c r="L42" s="2387"/>
      <c r="M42" s="2387"/>
      <c r="N42" s="2387"/>
      <c r="O42" s="2387"/>
      <c r="P42" s="2387"/>
      <c r="Q42" s="2387"/>
      <c r="R42" s="2387"/>
      <c r="S42" s="723"/>
      <c r="T42" s="720"/>
      <c r="U42" s="629"/>
      <c r="V42" s="629"/>
      <c r="W42" s="630"/>
      <c r="X42" s="630"/>
      <c r="Y42" s="630"/>
      <c r="Z42" s="630"/>
      <c r="AA42" s="631"/>
      <c r="AB42" s="632"/>
      <c r="AC42" s="2379"/>
      <c r="AD42" s="633"/>
      <c r="AE42" s="634"/>
      <c r="AF42" s="634"/>
      <c r="AG42" s="635"/>
      <c r="AH42" s="636"/>
      <c r="AI42" s="629"/>
      <c r="AJ42" s="629"/>
      <c r="AK42" s="629"/>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30"/>
      <c r="BW42" s="630"/>
      <c r="BX42" s="630"/>
      <c r="BY42" s="630"/>
      <c r="BZ42" s="630"/>
      <c r="CA42" s="630"/>
      <c r="CB42" s="630"/>
      <c r="CC42" s="630"/>
      <c r="CD42" s="630"/>
      <c r="CE42" s="630"/>
      <c r="CF42" s="1854"/>
    </row>
    <row customHeight="1" ht="15" hidden="1">
      <c r="A43" s="627"/>
      <c r="B43" s="628"/>
      <c r="C43" s="628"/>
      <c r="D43" s="2583"/>
      <c r="E43" s="2381" t="s">
        <v>583</v>
      </c>
      <c r="F43" s="2382"/>
      <c r="G43" s="2383"/>
      <c r="H43" s="2387" t="str">
        <f>IF(A41="","",INDEX(DIFFERENTIATION_UNMERGE_SYSTEM,MATCH(A41,DIFFERENTIATION_ID_DIFF,0)))</f>
        <v>без дифференциации</v>
      </c>
      <c r="I43" s="2387"/>
      <c r="J43" s="2387"/>
      <c r="K43" s="2387"/>
      <c r="L43" s="2387"/>
      <c r="M43" s="2387"/>
      <c r="N43" s="2387"/>
      <c r="O43" s="2387"/>
      <c r="P43" s="2387"/>
      <c r="Q43" s="2387"/>
      <c r="R43" s="2387"/>
      <c r="S43" s="723"/>
      <c r="T43" s="720"/>
      <c r="U43" s="629"/>
      <c r="V43" s="629"/>
      <c r="W43" s="630"/>
      <c r="X43" s="630"/>
      <c r="Y43" s="630"/>
      <c r="Z43" s="630"/>
      <c r="AA43" s="631"/>
      <c r="AB43" s="632"/>
      <c r="AC43" s="2379"/>
      <c r="AD43" s="633"/>
      <c r="AE43" s="634"/>
      <c r="AF43" s="634"/>
      <c r="AG43" s="635"/>
      <c r="AH43" s="636"/>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30"/>
      <c r="BW43" s="630"/>
      <c r="BX43" s="630"/>
      <c r="BY43" s="630"/>
      <c r="BZ43" s="630"/>
      <c r="CA43" s="630"/>
      <c r="CB43" s="630"/>
      <c r="CC43" s="630"/>
      <c r="CD43" s="630"/>
      <c r="CE43" s="630"/>
      <c r="CF43" s="1854"/>
    </row>
    <row customHeight="1" ht="24.75" hidden="1">
      <c r="A44" s="1810"/>
      <c r="B44" s="1164"/>
      <c r="C44" s="416"/>
      <c r="D44" s="2583"/>
      <c r="E44" s="2380" t="s">
        <v>864</v>
      </c>
      <c r="F44" s="2380"/>
      <c r="G44" s="2380"/>
      <c r="H44" s="2380"/>
      <c r="I44" s="2380"/>
      <c r="J44" s="2380"/>
      <c r="K44" s="2380"/>
      <c r="L44" s="2380"/>
      <c r="M44" s="2380"/>
      <c r="N44" s="2380"/>
      <c r="O44" s="2380"/>
      <c r="P44" s="2380"/>
      <c r="Q44" s="562">
        <f>SUMIF(T45:T46,"i",Q45:Q46)</f>
        <v>0</v>
      </c>
      <c r="R44" s="1021"/>
      <c r="S44" s="1802" t="s">
        <v>865</v>
      </c>
      <c r="T44" s="721" t="s">
        <v>866</v>
      </c>
      <c r="U44" s="2378">
        <v>1</v>
      </c>
      <c r="V44" s="2378" t="s">
        <v>595</v>
      </c>
      <c r="W44" s="1164"/>
      <c r="X44" s="1164"/>
      <c r="Y44" s="1164"/>
      <c r="Z44" s="1164"/>
      <c r="AA44" s="1640"/>
      <c r="AB44" s="1164"/>
      <c r="AC44" s="2379"/>
      <c r="AD44" s="633"/>
      <c r="AE44" s="1164"/>
      <c r="AF44" s="1164"/>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164"/>
      <c r="BW44" s="1164"/>
      <c r="BX44" s="1164"/>
      <c r="BY44" s="1164"/>
      <c r="BZ44" s="1164"/>
      <c r="CA44" s="1164"/>
      <c r="CB44" s="1164"/>
      <c r="CC44" s="1164"/>
      <c r="CD44" s="1164"/>
      <c r="CE44" s="1164"/>
      <c r="CF44" s="1854"/>
    </row>
    <row customHeight="1" ht="11.25" hidden="1">
      <c r="A45" s="1797"/>
      <c r="B45" s="1640"/>
      <c r="C45" s="1640"/>
      <c r="D45" s="2583"/>
      <c r="E45" s="639"/>
      <c r="F45" s="639">
        <v>0</v>
      </c>
      <c r="G45" s="639"/>
      <c r="H45" s="639"/>
      <c r="I45" s="639"/>
      <c r="J45" s="639"/>
      <c r="K45" s="639"/>
      <c r="L45" s="639"/>
      <c r="M45" s="639"/>
      <c r="N45" s="639"/>
      <c r="O45" s="639"/>
      <c r="P45" s="639"/>
      <c r="Q45" s="639"/>
      <c r="R45" s="639"/>
      <c r="S45" s="640"/>
      <c r="T45" s="722"/>
      <c r="U45" s="2378"/>
      <c r="V45" s="2378"/>
      <c r="W45" s="1640"/>
      <c r="X45" s="1640"/>
      <c r="Y45" s="1640"/>
      <c r="Z45" s="1640"/>
      <c r="AA45" s="1640"/>
      <c r="AB45" s="1164"/>
      <c r="AC45" s="2379"/>
      <c r="AD45" s="633"/>
      <c r="AE45" s="1164"/>
      <c r="AF45" s="1164"/>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854"/>
    </row>
    <row customHeight="1" ht="11.25" hidden="1">
      <c r="A46" s="1810"/>
      <c r="B46" s="1164"/>
      <c r="C46" s="416"/>
      <c r="D46" s="2583"/>
      <c r="E46" s="653" t="s">
        <v>22</v>
      </c>
      <c r="F46" s="1172" t="s">
        <v>22</v>
      </c>
      <c r="G46" s="1172" t="s">
        <v>870</v>
      </c>
      <c r="H46" s="655" t="s">
        <v>22</v>
      </c>
      <c r="I46" s="655"/>
      <c r="J46" s="655"/>
      <c r="K46" s="655"/>
      <c r="L46" s="655"/>
      <c r="M46" s="655"/>
      <c r="N46" s="655"/>
      <c r="O46" s="655"/>
      <c r="P46" s="655"/>
      <c r="Q46" s="655"/>
      <c r="R46" s="656"/>
      <c r="S46" s="657"/>
      <c r="T46" s="722"/>
      <c r="U46" s="2378"/>
      <c r="V46" s="2378"/>
      <c r="W46" s="1164"/>
      <c r="X46" s="1164"/>
      <c r="Y46" s="1164"/>
      <c r="Z46" s="1164"/>
      <c r="AA46" s="1640"/>
      <c r="AB46" s="1164"/>
      <c r="AC46" s="2379"/>
      <c r="AD46" s="633"/>
      <c r="AE46" s="1164"/>
      <c r="AF46" s="1164"/>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164"/>
      <c r="BW46" s="1164"/>
      <c r="BX46" s="1164"/>
      <c r="BY46" s="1164"/>
      <c r="BZ46" s="1164"/>
      <c r="CA46" s="1164"/>
      <c r="CB46" s="1164"/>
      <c r="CC46" s="1164"/>
      <c r="CD46" s="1164"/>
      <c r="CE46" s="1164"/>
      <c r="CF46" s="1854"/>
    </row>
    <row customHeight="1" ht="5.25" hidden="1">
      <c r="A47" s="1797"/>
      <c r="B47" s="1640"/>
      <c r="C47" s="1640"/>
      <c r="D47" s="2583"/>
      <c r="E47" s="1043"/>
      <c r="F47" s="1043"/>
      <c r="G47" s="1043"/>
      <c r="H47" s="1043"/>
      <c r="I47" s="1043"/>
      <c r="J47" s="1043"/>
      <c r="K47" s="1043"/>
      <c r="L47" s="1043"/>
      <c r="M47" s="1043"/>
      <c r="N47" s="1043"/>
      <c r="O47" s="1043"/>
      <c r="P47" s="1043"/>
      <c r="Q47" s="1044"/>
      <c r="R47" s="1045"/>
      <c r="S47" s="1046"/>
      <c r="T47" s="721" t="s">
        <v>866</v>
      </c>
      <c r="U47" s="2378">
        <v>1</v>
      </c>
      <c r="V47" s="2378" t="s">
        <v>595</v>
      </c>
      <c r="W47" s="1640"/>
      <c r="X47" s="1640"/>
      <c r="Y47" s="1640"/>
      <c r="Z47" s="1640"/>
      <c r="AA47" s="1640"/>
      <c r="AB47" s="1640"/>
      <c r="AC47" s="1041"/>
      <c r="AD47" s="1042"/>
      <c r="AE47" s="1640"/>
      <c r="AF47" s="1640"/>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640"/>
      <c r="BW47" s="1640"/>
      <c r="BX47" s="1640"/>
      <c r="BY47" s="1640"/>
      <c r="BZ47" s="1640"/>
      <c r="CA47" s="1640"/>
      <c r="CB47" s="1640"/>
      <c r="CC47" s="1640"/>
      <c r="CD47" s="1640"/>
      <c r="CE47" s="1640"/>
      <c r="CF47" s="1320"/>
    </row>
    <row customHeight="1" ht="5.25" hidden="1">
      <c r="A48" s="1797"/>
      <c r="B48" s="1640"/>
      <c r="C48" s="1640"/>
      <c r="D48" s="2583"/>
      <c r="E48" s="639"/>
      <c r="F48" s="639"/>
      <c r="G48" s="639"/>
      <c r="H48" s="639"/>
      <c r="I48" s="639"/>
      <c r="J48" s="639"/>
      <c r="K48" s="639"/>
      <c r="L48" s="639"/>
      <c r="M48" s="639"/>
      <c r="N48" s="639"/>
      <c r="O48" s="639"/>
      <c r="P48" s="639"/>
      <c r="Q48" s="639"/>
      <c r="R48" s="639"/>
      <c r="S48" s="640"/>
      <c r="T48" s="722"/>
      <c r="U48" s="2378"/>
      <c r="V48" s="2378"/>
      <c r="W48" s="1640"/>
      <c r="X48" s="1640"/>
      <c r="Y48" s="1640"/>
      <c r="Z48" s="1640"/>
      <c r="AA48" s="1640"/>
      <c r="AB48" s="1640"/>
      <c r="AC48" s="1041"/>
      <c r="AD48" s="1042"/>
      <c r="AE48" s="1640"/>
      <c r="AF48" s="1640"/>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320"/>
    </row>
    <row customHeight="1" ht="5.25" hidden="1">
      <c r="A49" s="1797"/>
      <c r="B49" s="1640"/>
      <c r="C49" s="1640"/>
      <c r="D49" s="2584"/>
      <c r="E49" s="1047"/>
      <c r="F49" s="1048"/>
      <c r="G49" s="1048"/>
      <c r="H49" s="1049"/>
      <c r="I49" s="1049"/>
      <c r="J49" s="1049"/>
      <c r="K49" s="1049"/>
      <c r="L49" s="1049"/>
      <c r="M49" s="1049"/>
      <c r="N49" s="1049"/>
      <c r="O49" s="1049"/>
      <c r="P49" s="1049"/>
      <c r="Q49" s="1049"/>
      <c r="R49" s="950"/>
      <c r="S49" s="1050"/>
      <c r="T49" s="722"/>
      <c r="U49" s="2378"/>
      <c r="V49" s="2378"/>
      <c r="W49" s="1640"/>
      <c r="X49" s="1640"/>
      <c r="Y49" s="1640"/>
      <c r="Z49" s="1640"/>
      <c r="AA49" s="1640"/>
      <c r="AB49" s="1640"/>
      <c r="AC49" s="1041"/>
      <c r="AD49" s="1042"/>
      <c r="AE49" s="1640"/>
      <c r="AF49" s="1640"/>
      <c r="AG49" s="1640"/>
      <c r="AH49" s="1640"/>
      <c r="AI49" s="1640"/>
      <c r="AJ49" s="1640"/>
      <c r="AK49" s="1640"/>
      <c r="AL49" s="1640"/>
      <c r="AM49" s="1640"/>
      <c r="AN49" s="1640"/>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c r="BN49" s="1640"/>
      <c r="BO49" s="1640"/>
      <c r="BP49" s="1640"/>
      <c r="BQ49" s="1640"/>
      <c r="BR49" s="1640"/>
      <c r="BS49" s="1640"/>
      <c r="BT49" s="1640"/>
      <c r="BU49" s="1640"/>
      <c r="BV49" s="1640"/>
      <c r="BW49" s="1640"/>
      <c r="BX49" s="1640"/>
      <c r="BY49" s="1640"/>
      <c r="BZ49" s="1640"/>
      <c r="CA49" s="1640"/>
      <c r="CB49" s="1640"/>
      <c r="CC49" s="1640"/>
      <c r="CD49" s="1640"/>
      <c r="CE49" s="1640"/>
      <c r="CF49" s="1320"/>
    </row>
    <row customHeight="1" ht="15" hidden="1">
      <c r="A50" s="627" t="s">
        <v>137</v>
      </c>
      <c r="B50" s="628"/>
      <c r="C50" s="628" t="s">
        <v>22</v>
      </c>
      <c r="D50" s="2582" t="s">
        <v>873</v>
      </c>
      <c r="E50" s="2381" t="s">
        <v>115</v>
      </c>
      <c r="F50" s="2382"/>
      <c r="G50" s="2383"/>
      <c r="H50" s="2387" t="str">
        <f>IF(A50="","",INDEX(DIFFERENTIATION_UNMERGE_VD,MATCH(A50,DIFFERENTIATION_ID_DIFF,0)))</f>
        <v>Подключение (технологическое присоединение) к системе теплоснабжения</v>
      </c>
      <c r="I50" s="2387"/>
      <c r="J50" s="2387"/>
      <c r="K50" s="2387"/>
      <c r="L50" s="2387"/>
      <c r="M50" s="2387"/>
      <c r="N50" s="2387"/>
      <c r="O50" s="2387"/>
      <c r="P50" s="2387"/>
      <c r="Q50" s="2387"/>
      <c r="R50" s="2387"/>
      <c r="S50" s="723"/>
      <c r="T50" s="720"/>
      <c r="U50" s="629"/>
      <c r="V50" s="629"/>
      <c r="W50" s="630"/>
      <c r="X50" s="630"/>
      <c r="Y50" s="630"/>
      <c r="Z50" s="630"/>
      <c r="AA50" s="631"/>
      <c r="AB50" s="632"/>
      <c r="AC50" s="2379"/>
      <c r="AD50" s="633"/>
      <c r="AE50" s="634" t="s">
        <v>22</v>
      </c>
      <c r="AF50" s="634"/>
      <c r="AG50" s="635" t="s">
        <v>863</v>
      </c>
      <c r="AH50" s="636">
        <v>3</v>
      </c>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30"/>
      <c r="BW50" s="630"/>
      <c r="BX50" s="630"/>
      <c r="BY50" s="630"/>
      <c r="BZ50" s="630"/>
      <c r="CA50" s="630"/>
      <c r="CB50" s="630"/>
      <c r="CC50" s="630"/>
      <c r="CD50" s="630"/>
      <c r="CE50" s="630"/>
      <c r="CF50" s="1854"/>
    </row>
    <row customHeight="1" ht="15" hidden="1">
      <c r="A51" s="627"/>
      <c r="B51" s="628"/>
      <c r="C51" s="628"/>
      <c r="D51" s="2583"/>
      <c r="E51" s="2381" t="s">
        <v>582</v>
      </c>
      <c r="F51" s="2382"/>
      <c r="G51" s="2383"/>
      <c r="H51" s="2387" t="str">
        <f>IF(A50="","",INDEX(DIFFERENTIATION_UNMERGE_AREA,MATCH(A50,DIFFERENTIATION_ID_DIFF,0)))</f>
        <v>Территория 1</v>
      </c>
      <c r="I51" s="2387"/>
      <c r="J51" s="2387"/>
      <c r="K51" s="2387"/>
      <c r="L51" s="2387"/>
      <c r="M51" s="2387"/>
      <c r="N51" s="2387"/>
      <c r="O51" s="2387"/>
      <c r="P51" s="2387"/>
      <c r="Q51" s="2387"/>
      <c r="R51" s="2387"/>
      <c r="S51" s="723"/>
      <c r="T51" s="720"/>
      <c r="U51" s="629"/>
      <c r="V51" s="629"/>
      <c r="W51" s="630"/>
      <c r="X51" s="630"/>
      <c r="Y51" s="630"/>
      <c r="Z51" s="630"/>
      <c r="AA51" s="631"/>
      <c r="AB51" s="632"/>
      <c r="AC51" s="2379"/>
      <c r="AD51" s="633"/>
      <c r="AE51" s="634"/>
      <c r="AF51" s="634"/>
      <c r="AG51" s="635"/>
      <c r="AH51" s="636"/>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30"/>
      <c r="BW51" s="630"/>
      <c r="BX51" s="630"/>
      <c r="BY51" s="630"/>
      <c r="BZ51" s="630"/>
      <c r="CA51" s="630"/>
      <c r="CB51" s="630"/>
      <c r="CC51" s="630"/>
      <c r="CD51" s="630"/>
      <c r="CE51" s="630"/>
      <c r="CF51" s="1854"/>
    </row>
    <row customHeight="1" ht="15" hidden="1">
      <c r="A52" s="627"/>
      <c r="B52" s="628"/>
      <c r="C52" s="628"/>
      <c r="D52" s="2583"/>
      <c r="E52" s="2381" t="s">
        <v>583</v>
      </c>
      <c r="F52" s="2382"/>
      <c r="G52" s="2383"/>
      <c r="H52" s="2387" t="str">
        <f>IF(A50="","",INDEX(DIFFERENTIATION_UNMERGE_SYSTEM,MATCH(A50,DIFFERENTIATION_ID_DIFF,0)))</f>
        <v>без дифференциации</v>
      </c>
      <c r="I52" s="2387"/>
      <c r="J52" s="2387"/>
      <c r="K52" s="2387"/>
      <c r="L52" s="2387"/>
      <c r="M52" s="2387"/>
      <c r="N52" s="2387"/>
      <c r="O52" s="2387"/>
      <c r="P52" s="2387"/>
      <c r="Q52" s="2387"/>
      <c r="R52" s="2387"/>
      <c r="S52" s="723"/>
      <c r="T52" s="720"/>
      <c r="U52" s="629"/>
      <c r="V52" s="629"/>
      <c r="W52" s="630"/>
      <c r="X52" s="630"/>
      <c r="Y52" s="630"/>
      <c r="Z52" s="630"/>
      <c r="AA52" s="631"/>
      <c r="AB52" s="632"/>
      <c r="AC52" s="2379"/>
      <c r="AD52" s="633"/>
      <c r="AE52" s="634"/>
      <c r="AF52" s="634"/>
      <c r="AG52" s="635"/>
      <c r="AH52" s="636"/>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30"/>
      <c r="BW52" s="630"/>
      <c r="BX52" s="630"/>
      <c r="BY52" s="630"/>
      <c r="BZ52" s="630"/>
      <c r="CA52" s="630"/>
      <c r="CB52" s="630"/>
      <c r="CC52" s="630"/>
      <c r="CD52" s="630"/>
      <c r="CE52" s="630"/>
      <c r="CF52" s="1854"/>
    </row>
    <row customHeight="1" ht="24.75" hidden="1">
      <c r="A53" s="1810"/>
      <c r="B53" s="1164"/>
      <c r="C53" s="416"/>
      <c r="D53" s="2583"/>
      <c r="E53" s="2380" t="s">
        <v>864</v>
      </c>
      <c r="F53" s="2380"/>
      <c r="G53" s="2380"/>
      <c r="H53" s="2380"/>
      <c r="I53" s="2380"/>
      <c r="J53" s="2380"/>
      <c r="K53" s="2380"/>
      <c r="L53" s="2380"/>
      <c r="M53" s="2380"/>
      <c r="N53" s="2380"/>
      <c r="O53" s="2380"/>
      <c r="P53" s="2380"/>
      <c r="Q53" s="562">
        <f>SUMIF(T54:T55,"i",Q54:Q55)</f>
        <v>0</v>
      </c>
      <c r="R53" s="1021"/>
      <c r="S53" s="1802" t="s">
        <v>865</v>
      </c>
      <c r="T53" s="721" t="s">
        <v>866</v>
      </c>
      <c r="U53" s="2378">
        <v>1</v>
      </c>
      <c r="V53" s="2378" t="s">
        <v>595</v>
      </c>
      <c r="W53" s="1164"/>
      <c r="X53" s="1164"/>
      <c r="Y53" s="1164"/>
      <c r="Z53" s="1164"/>
      <c r="AA53" s="1640"/>
      <c r="AB53" s="1164"/>
      <c r="AC53" s="2379"/>
      <c r="AD53" s="633"/>
      <c r="AE53" s="1164"/>
      <c r="AF53" s="1164"/>
      <c r="AG53" s="1640"/>
      <c r="AH53" s="1640"/>
      <c r="AI53" s="1640"/>
      <c r="AJ53" s="1640"/>
      <c r="AK53" s="1640"/>
      <c r="AL53" s="1640"/>
      <c r="AM53" s="1640"/>
      <c r="AN53" s="1640"/>
      <c r="AO53" s="1640"/>
      <c r="AP53" s="1640"/>
      <c r="AQ53" s="1640"/>
      <c r="AR53" s="1640"/>
      <c r="AS53" s="1640"/>
      <c r="AT53" s="1640"/>
      <c r="AU53" s="1640"/>
      <c r="AV53" s="1640"/>
      <c r="AW53" s="1640"/>
      <c r="AX53" s="1640"/>
      <c r="AY53" s="1640"/>
      <c r="AZ53" s="1640"/>
      <c r="BA53" s="1640"/>
      <c r="BB53" s="1640"/>
      <c r="BC53" s="1640"/>
      <c r="BD53" s="1640"/>
      <c r="BE53" s="1640"/>
      <c r="BF53" s="1640"/>
      <c r="BG53" s="1640"/>
      <c r="BH53" s="1640"/>
      <c r="BI53" s="1640"/>
      <c r="BJ53" s="1640"/>
      <c r="BK53" s="1640"/>
      <c r="BL53" s="1640"/>
      <c r="BM53" s="1640"/>
      <c r="BN53" s="1640"/>
      <c r="BO53" s="1640"/>
      <c r="BP53" s="1640"/>
      <c r="BQ53" s="1640"/>
      <c r="BR53" s="1640"/>
      <c r="BS53" s="1640"/>
      <c r="BT53" s="1640"/>
      <c r="BU53" s="1640"/>
      <c r="BV53" s="1164"/>
      <c r="BW53" s="1164"/>
      <c r="BX53" s="1164"/>
      <c r="BY53" s="1164"/>
      <c r="BZ53" s="1164"/>
      <c r="CA53" s="1164"/>
      <c r="CB53" s="1164"/>
      <c r="CC53" s="1164"/>
      <c r="CD53" s="1164"/>
      <c r="CE53" s="1164"/>
      <c r="CF53" s="1854"/>
    </row>
    <row customHeight="1" ht="11.25" hidden="1">
      <c r="A54" s="1797"/>
      <c r="B54" s="1640"/>
      <c r="C54" s="1640"/>
      <c r="D54" s="2583"/>
      <c r="E54" s="639"/>
      <c r="F54" s="639">
        <v>0</v>
      </c>
      <c r="G54" s="639"/>
      <c r="H54" s="639"/>
      <c r="I54" s="639"/>
      <c r="J54" s="639"/>
      <c r="K54" s="639"/>
      <c r="L54" s="639"/>
      <c r="M54" s="639"/>
      <c r="N54" s="639"/>
      <c r="O54" s="639"/>
      <c r="P54" s="639"/>
      <c r="Q54" s="639"/>
      <c r="R54" s="639"/>
      <c r="S54" s="640"/>
      <c r="T54" s="722"/>
      <c r="U54" s="2378"/>
      <c r="V54" s="2378"/>
      <c r="W54" s="1640"/>
      <c r="X54" s="1640"/>
      <c r="Y54" s="1640"/>
      <c r="Z54" s="1640"/>
      <c r="AA54" s="1640"/>
      <c r="AB54" s="1164"/>
      <c r="AC54" s="2379"/>
      <c r="AD54" s="633"/>
      <c r="AE54" s="1164"/>
      <c r="AF54" s="1164"/>
      <c r="AG54" s="1640"/>
      <c r="AH54" s="1640"/>
      <c r="AI54" s="1640"/>
      <c r="AJ54" s="1640"/>
      <c r="AK54" s="1640"/>
      <c r="AL54" s="1640"/>
      <c r="AM54" s="1640"/>
      <c r="AN54" s="1640"/>
      <c r="AO54" s="1640"/>
      <c r="AP54" s="1640"/>
      <c r="AQ54" s="1640"/>
      <c r="AR54" s="1640"/>
      <c r="AS54" s="1640"/>
      <c r="AT54" s="1640"/>
      <c r="AU54" s="1640"/>
      <c r="AV54" s="1640"/>
      <c r="AW54" s="1640"/>
      <c r="AX54" s="1640"/>
      <c r="AY54" s="1640"/>
      <c r="AZ54" s="1640"/>
      <c r="BA54" s="1640"/>
      <c r="BB54" s="1640"/>
      <c r="BC54" s="1640"/>
      <c r="BD54" s="1640"/>
      <c r="BE54" s="1640"/>
      <c r="BF54" s="1640"/>
      <c r="BG54" s="1640"/>
      <c r="BH54" s="1640"/>
      <c r="BI54" s="1640"/>
      <c r="BJ54" s="1640"/>
      <c r="BK54" s="1640"/>
      <c r="BL54" s="1640"/>
      <c r="BM54" s="1640"/>
      <c r="BN54" s="1640"/>
      <c r="BO54" s="1640"/>
      <c r="BP54" s="1640"/>
      <c r="BQ54" s="1640"/>
      <c r="BR54" s="1640"/>
      <c r="BS54" s="1640"/>
      <c r="BT54" s="1640"/>
      <c r="BU54" s="1640"/>
      <c r="BV54" s="1640"/>
      <c r="BW54" s="1640"/>
      <c r="BX54" s="1640"/>
      <c r="BY54" s="1640"/>
      <c r="BZ54" s="1640"/>
      <c r="CA54" s="1640"/>
      <c r="CB54" s="1640"/>
      <c r="CC54" s="1640"/>
      <c r="CD54" s="1640"/>
      <c r="CE54" s="1640"/>
      <c r="CF54" s="1854"/>
    </row>
    <row customHeight="1" ht="11.25" hidden="1">
      <c r="A55" s="1810"/>
      <c r="B55" s="1164"/>
      <c r="C55" s="416"/>
      <c r="D55" s="2583"/>
      <c r="E55" s="653" t="s">
        <v>22</v>
      </c>
      <c r="F55" s="1172" t="s">
        <v>22</v>
      </c>
      <c r="G55" s="1172" t="s">
        <v>870</v>
      </c>
      <c r="H55" s="655" t="s">
        <v>22</v>
      </c>
      <c r="I55" s="655"/>
      <c r="J55" s="655"/>
      <c r="K55" s="655"/>
      <c r="L55" s="655"/>
      <c r="M55" s="655"/>
      <c r="N55" s="655"/>
      <c r="O55" s="655"/>
      <c r="P55" s="655"/>
      <c r="Q55" s="655"/>
      <c r="R55" s="656"/>
      <c r="S55" s="657"/>
      <c r="T55" s="722"/>
      <c r="U55" s="2378"/>
      <c r="V55" s="2378"/>
      <c r="W55" s="1164"/>
      <c r="X55" s="1164"/>
      <c r="Y55" s="1164"/>
      <c r="Z55" s="1164"/>
      <c r="AA55" s="1640"/>
      <c r="AB55" s="1164"/>
      <c r="AC55" s="2379"/>
      <c r="AD55" s="633"/>
      <c r="AE55" s="1164"/>
      <c r="AF55" s="1164"/>
      <c r="AG55" s="1640"/>
      <c r="AH55" s="1640"/>
      <c r="AI55" s="1640"/>
      <c r="AJ55" s="1640"/>
      <c r="AK55" s="1640"/>
      <c r="AL55" s="1640"/>
      <c r="AM55" s="1640"/>
      <c r="AN55" s="1640"/>
      <c r="AO55" s="1640"/>
      <c r="AP55" s="1640"/>
      <c r="AQ55" s="1640"/>
      <c r="AR55" s="1640"/>
      <c r="AS55" s="1640"/>
      <c r="AT55" s="1640"/>
      <c r="AU55" s="1640"/>
      <c r="AV55" s="1640"/>
      <c r="AW55" s="1640"/>
      <c r="AX55" s="1640"/>
      <c r="AY55" s="1640"/>
      <c r="AZ55" s="1640"/>
      <c r="BA55" s="1640"/>
      <c r="BB55" s="1640"/>
      <c r="BC55" s="1640"/>
      <c r="BD55" s="1640"/>
      <c r="BE55" s="1640"/>
      <c r="BF55" s="1640"/>
      <c r="BG55" s="1640"/>
      <c r="BH55" s="1640"/>
      <c r="BI55" s="1640"/>
      <c r="BJ55" s="1640"/>
      <c r="BK55" s="1640"/>
      <c r="BL55" s="1640"/>
      <c r="BM55" s="1640"/>
      <c r="BN55" s="1640"/>
      <c r="BO55" s="1640"/>
      <c r="BP55" s="1640"/>
      <c r="BQ55" s="1640"/>
      <c r="BR55" s="1640"/>
      <c r="BS55" s="1640"/>
      <c r="BT55" s="1640"/>
      <c r="BU55" s="1640"/>
      <c r="BV55" s="1164"/>
      <c r="BW55" s="1164"/>
      <c r="BX55" s="1164"/>
      <c r="BY55" s="1164"/>
      <c r="BZ55" s="1164"/>
      <c r="CA55" s="1164"/>
      <c r="CB55" s="1164"/>
      <c r="CC55" s="1164"/>
      <c r="CD55" s="1164"/>
      <c r="CE55" s="1164"/>
      <c r="CF55" s="1854"/>
    </row>
    <row customHeight="1" ht="5.25" hidden="1">
      <c r="A56" s="1797"/>
      <c r="B56" s="1640"/>
      <c r="C56" s="1640"/>
      <c r="D56" s="2583"/>
      <c r="E56" s="1043"/>
      <c r="F56" s="1043"/>
      <c r="G56" s="1043"/>
      <c r="H56" s="1043"/>
      <c r="I56" s="1043"/>
      <c r="J56" s="1043"/>
      <c r="K56" s="1043"/>
      <c r="L56" s="1043"/>
      <c r="M56" s="1043"/>
      <c r="N56" s="1043"/>
      <c r="O56" s="1043"/>
      <c r="P56" s="1043"/>
      <c r="Q56" s="1044"/>
      <c r="R56" s="1045"/>
      <c r="S56" s="1046"/>
      <c r="T56" s="721" t="s">
        <v>866</v>
      </c>
      <c r="U56" s="2378">
        <v>1</v>
      </c>
      <c r="V56" s="2378" t="s">
        <v>595</v>
      </c>
      <c r="W56" s="1640"/>
      <c r="X56" s="1640"/>
      <c r="Y56" s="1640"/>
      <c r="Z56" s="1640"/>
      <c r="AA56" s="1640"/>
      <c r="AB56" s="1640"/>
      <c r="AC56" s="1041"/>
      <c r="AD56" s="1042"/>
      <c r="AE56" s="1640"/>
      <c r="AF56" s="1640"/>
      <c r="AG56" s="1640"/>
      <c r="AH56" s="1640"/>
      <c r="AI56" s="1640"/>
      <c r="AJ56" s="1640"/>
      <c r="AK56" s="1640"/>
      <c r="AL56" s="1640"/>
      <c r="AM56" s="1640"/>
      <c r="AN56" s="1640"/>
      <c r="AO56" s="1640"/>
      <c r="AP56" s="1640"/>
      <c r="AQ56" s="1640"/>
      <c r="AR56" s="1640"/>
      <c r="AS56" s="1640"/>
      <c r="AT56" s="1640"/>
      <c r="AU56" s="1640"/>
      <c r="AV56" s="1640"/>
      <c r="AW56" s="1640"/>
      <c r="AX56" s="1640"/>
      <c r="AY56" s="1640"/>
      <c r="AZ56" s="1640"/>
      <c r="BA56" s="1640"/>
      <c r="BB56" s="1640"/>
      <c r="BC56" s="1640"/>
      <c r="BD56" s="1640"/>
      <c r="BE56" s="1640"/>
      <c r="BF56" s="1640"/>
      <c r="BG56" s="1640"/>
      <c r="BH56" s="1640"/>
      <c r="BI56" s="1640"/>
      <c r="BJ56" s="1640"/>
      <c r="BK56" s="1640"/>
      <c r="BL56" s="1640"/>
      <c r="BM56" s="1640"/>
      <c r="BN56" s="1640"/>
      <c r="BO56" s="1640"/>
      <c r="BP56" s="1640"/>
      <c r="BQ56" s="1640"/>
      <c r="BR56" s="1640"/>
      <c r="BS56" s="1640"/>
      <c r="BT56" s="1640"/>
      <c r="BU56" s="1640"/>
      <c r="BV56" s="1640"/>
      <c r="BW56" s="1640"/>
      <c r="BX56" s="1640"/>
      <c r="BY56" s="1640"/>
      <c r="BZ56" s="1640"/>
      <c r="CA56" s="1640"/>
      <c r="CB56" s="1640"/>
      <c r="CC56" s="1640"/>
      <c r="CD56" s="1640"/>
      <c r="CE56" s="1640"/>
      <c r="CF56" s="1320"/>
    </row>
    <row customHeight="1" ht="5.25" hidden="1">
      <c r="A57" s="1797"/>
      <c r="B57" s="1640"/>
      <c r="C57" s="1640"/>
      <c r="D57" s="2583"/>
      <c r="E57" s="639"/>
      <c r="F57" s="639"/>
      <c r="G57" s="639"/>
      <c r="H57" s="639"/>
      <c r="I57" s="639"/>
      <c r="J57" s="639"/>
      <c r="K57" s="639"/>
      <c r="L57" s="639"/>
      <c r="M57" s="639"/>
      <c r="N57" s="639"/>
      <c r="O57" s="639"/>
      <c r="P57" s="639"/>
      <c r="Q57" s="639"/>
      <c r="R57" s="639"/>
      <c r="S57" s="640"/>
      <c r="T57" s="722"/>
      <c r="U57" s="2378"/>
      <c r="V57" s="2378"/>
      <c r="W57" s="1640"/>
      <c r="X57" s="1640"/>
      <c r="Y57" s="1640"/>
      <c r="Z57" s="1640"/>
      <c r="AA57" s="1640"/>
      <c r="AB57" s="1640"/>
      <c r="AC57" s="1041"/>
      <c r="AD57" s="1042"/>
      <c r="AE57" s="1640"/>
      <c r="AF57" s="1640"/>
      <c r="AG57" s="1640"/>
      <c r="AH57" s="1640"/>
      <c r="AI57" s="1640"/>
      <c r="AJ57" s="1640"/>
      <c r="AK57" s="1640"/>
      <c r="AL57" s="1640"/>
      <c r="AM57" s="1640"/>
      <c r="AN57" s="1640"/>
      <c r="AO57" s="1640"/>
      <c r="AP57" s="1640"/>
      <c r="AQ57" s="1640"/>
      <c r="AR57" s="1640"/>
      <c r="AS57" s="1640"/>
      <c r="AT57" s="1640"/>
      <c r="AU57" s="1640"/>
      <c r="AV57" s="1640"/>
      <c r="AW57" s="1640"/>
      <c r="AX57" s="1640"/>
      <c r="AY57" s="1640"/>
      <c r="AZ57" s="1640"/>
      <c r="BA57" s="1640"/>
      <c r="BB57" s="1640"/>
      <c r="BC57" s="1640"/>
      <c r="BD57" s="1640"/>
      <c r="BE57" s="1640"/>
      <c r="BF57" s="1640"/>
      <c r="BG57" s="1640"/>
      <c r="BH57" s="1640"/>
      <c r="BI57" s="1640"/>
      <c r="BJ57" s="1640"/>
      <c r="BK57" s="1640"/>
      <c r="BL57" s="1640"/>
      <c r="BM57" s="1640"/>
      <c r="BN57" s="1640"/>
      <c r="BO57" s="1640"/>
      <c r="BP57" s="1640"/>
      <c r="BQ57" s="1640"/>
      <c r="BR57" s="1640"/>
      <c r="BS57" s="1640"/>
      <c r="BT57" s="1640"/>
      <c r="BU57" s="1640"/>
      <c r="BV57" s="1640"/>
      <c r="BW57" s="1640"/>
      <c r="BX57" s="1640"/>
      <c r="BY57" s="1640"/>
      <c r="BZ57" s="1640"/>
      <c r="CA57" s="1640"/>
      <c r="CB57" s="1640"/>
      <c r="CC57" s="1640"/>
      <c r="CD57" s="1640"/>
      <c r="CE57" s="1640"/>
      <c r="CF57" s="1320"/>
    </row>
    <row customHeight="1" ht="5.25" hidden="1">
      <c r="A58" s="1797"/>
      <c r="B58" s="1640"/>
      <c r="C58" s="1640"/>
      <c r="D58" s="2584"/>
      <c r="E58" s="1047"/>
      <c r="F58" s="1048"/>
      <c r="G58" s="1048"/>
      <c r="H58" s="1049"/>
      <c r="I58" s="1049"/>
      <c r="J58" s="1049"/>
      <c r="K58" s="1049"/>
      <c r="L58" s="1049"/>
      <c r="M58" s="1049"/>
      <c r="N58" s="1049"/>
      <c r="O58" s="1049"/>
      <c r="P58" s="1049"/>
      <c r="Q58" s="1049"/>
      <c r="R58" s="950"/>
      <c r="S58" s="1050"/>
      <c r="T58" s="722"/>
      <c r="U58" s="2378"/>
      <c r="V58" s="2378"/>
      <c r="W58" s="1640"/>
      <c r="X58" s="1640"/>
      <c r="Y58" s="1640"/>
      <c r="Z58" s="1640"/>
      <c r="AA58" s="1640"/>
      <c r="AB58" s="1640"/>
      <c r="AC58" s="1041"/>
      <c r="AD58" s="1042"/>
      <c r="AE58" s="1640"/>
      <c r="AF58" s="1640"/>
      <c r="AG58" s="1640"/>
      <c r="AH58" s="1640"/>
      <c r="AI58" s="1640"/>
      <c r="AJ58" s="1640"/>
      <c r="AK58" s="1640"/>
      <c r="AL58" s="1640"/>
      <c r="AM58" s="1640"/>
      <c r="AN58" s="1640"/>
      <c r="AO58" s="1640"/>
      <c r="AP58" s="1640"/>
      <c r="AQ58" s="1640"/>
      <c r="AR58" s="1640"/>
      <c r="AS58" s="1640"/>
      <c r="AT58" s="1640"/>
      <c r="AU58" s="1640"/>
      <c r="AV58" s="1640"/>
      <c r="AW58" s="1640"/>
      <c r="AX58" s="1640"/>
      <c r="AY58" s="1640"/>
      <c r="AZ58" s="1640"/>
      <c r="BA58" s="1640"/>
      <c r="BB58" s="1640"/>
      <c r="BC58" s="1640"/>
      <c r="BD58" s="1640"/>
      <c r="BE58" s="1640"/>
      <c r="BF58" s="1640"/>
      <c r="BG58" s="1640"/>
      <c r="BH58" s="1640"/>
      <c r="BI58" s="1640"/>
      <c r="BJ58" s="1640"/>
      <c r="BK58" s="1640"/>
      <c r="BL58" s="1640"/>
      <c r="BM58" s="1640"/>
      <c r="BN58" s="1640"/>
      <c r="BO58" s="1640"/>
      <c r="BP58" s="1640"/>
      <c r="BQ58" s="1640"/>
      <c r="BR58" s="1640"/>
      <c r="BS58" s="1640"/>
      <c r="BT58" s="1640"/>
      <c r="BU58" s="1640"/>
      <c r="BV58" s="1640"/>
      <c r="BW58" s="1640"/>
      <c r="BX58" s="1640"/>
      <c r="BY58" s="1640"/>
      <c r="BZ58" s="1640"/>
      <c r="CA58" s="1640"/>
      <c r="CB58" s="1640"/>
      <c r="CC58" s="1640"/>
      <c r="CD58" s="1640"/>
      <c r="CE58" s="1640"/>
      <c r="CF58" s="1320"/>
    </row>
    <row customHeight="1" ht="15" hidden="1">
      <c r="A59" s="627" t="s">
        <v>136</v>
      </c>
      <c r="B59" s="628"/>
      <c r="C59" s="628" t="s">
        <v>22</v>
      </c>
      <c r="D59" s="2582" t="s">
        <v>874</v>
      </c>
      <c r="E59" s="2381" t="s">
        <v>115</v>
      </c>
      <c r="F59" s="2382"/>
      <c r="G59" s="2383"/>
      <c r="H59" s="2387" t="str">
        <f>IF(A59="","",INDEX(DIFFERENTIATION_UNMERGE_VD,MATCH(A59,DIFFERENTIATION_ID_DIFF,0)))</f>
        <v>Производство. Теплоноситель</v>
      </c>
      <c r="I59" s="2387"/>
      <c r="J59" s="2387"/>
      <c r="K59" s="2387"/>
      <c r="L59" s="2387"/>
      <c r="M59" s="2387"/>
      <c r="N59" s="2387"/>
      <c r="O59" s="2387"/>
      <c r="P59" s="2387"/>
      <c r="Q59" s="2387"/>
      <c r="R59" s="2387"/>
      <c r="S59" s="723"/>
      <c r="T59" s="720"/>
      <c r="U59" s="629"/>
      <c r="V59" s="629"/>
      <c r="W59" s="630"/>
      <c r="X59" s="630"/>
      <c r="Y59" s="630"/>
      <c r="Z59" s="630"/>
      <c r="AA59" s="631"/>
      <c r="AB59" s="632"/>
      <c r="AC59" s="2379"/>
      <c r="AD59" s="633"/>
      <c r="AE59" s="634" t="s">
        <v>22</v>
      </c>
      <c r="AF59" s="634"/>
      <c r="AG59" s="635" t="s">
        <v>863</v>
      </c>
      <c r="AH59" s="636">
        <v>3</v>
      </c>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30"/>
      <c r="BW59" s="630"/>
      <c r="BX59" s="630"/>
      <c r="BY59" s="630"/>
      <c r="BZ59" s="630"/>
      <c r="CA59" s="630"/>
      <c r="CB59" s="630"/>
      <c r="CC59" s="630"/>
      <c r="CD59" s="630"/>
      <c r="CE59" s="630"/>
      <c r="CF59" s="1854"/>
    </row>
    <row customHeight="1" ht="15" hidden="1">
      <c r="A60" s="627"/>
      <c r="B60" s="628"/>
      <c r="C60" s="628"/>
      <c r="D60" s="2583"/>
      <c r="E60" s="2381" t="s">
        <v>582</v>
      </c>
      <c r="F60" s="2382"/>
      <c r="G60" s="2383"/>
      <c r="H60" s="2387" t="str">
        <f>IF(A59="","",INDEX(DIFFERENTIATION_UNMERGE_AREA,MATCH(A59,DIFFERENTIATION_ID_DIFF,0)))</f>
        <v>Территория 2</v>
      </c>
      <c r="I60" s="2387"/>
      <c r="J60" s="2387"/>
      <c r="K60" s="2387"/>
      <c r="L60" s="2387"/>
      <c r="M60" s="2387"/>
      <c r="N60" s="2387"/>
      <c r="O60" s="2387"/>
      <c r="P60" s="2387"/>
      <c r="Q60" s="2387"/>
      <c r="R60" s="2387"/>
      <c r="S60" s="723"/>
      <c r="T60" s="720"/>
      <c r="U60" s="629"/>
      <c r="V60" s="629"/>
      <c r="W60" s="630"/>
      <c r="X60" s="630"/>
      <c r="Y60" s="630"/>
      <c r="Z60" s="630"/>
      <c r="AA60" s="631"/>
      <c r="AB60" s="632"/>
      <c r="AC60" s="2379"/>
      <c r="AD60" s="633"/>
      <c r="AE60" s="634"/>
      <c r="AF60" s="634"/>
      <c r="AG60" s="635"/>
      <c r="AH60" s="636"/>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30"/>
      <c r="BW60" s="630"/>
      <c r="BX60" s="630"/>
      <c r="BY60" s="630"/>
      <c r="BZ60" s="630"/>
      <c r="CA60" s="630"/>
      <c r="CB60" s="630"/>
      <c r="CC60" s="630"/>
      <c r="CD60" s="630"/>
      <c r="CE60" s="630"/>
      <c r="CF60" s="1854"/>
    </row>
    <row customHeight="1" ht="15" hidden="1">
      <c r="A61" s="627"/>
      <c r="B61" s="628"/>
      <c r="C61" s="628"/>
      <c r="D61" s="2583"/>
      <c r="E61" s="2381" t="s">
        <v>583</v>
      </c>
      <c r="F61" s="2382"/>
      <c r="G61" s="2383"/>
      <c r="H61" s="2387" t="str">
        <f>IF(A59="","",INDEX(DIFFERENTIATION_UNMERGE_SYSTEM,MATCH(A59,DIFFERENTIATION_ID_DIFF,0)))</f>
        <v>без дифференциации</v>
      </c>
      <c r="I61" s="2387"/>
      <c r="J61" s="2387"/>
      <c r="K61" s="2387"/>
      <c r="L61" s="2387"/>
      <c r="M61" s="2387"/>
      <c r="N61" s="2387"/>
      <c r="O61" s="2387"/>
      <c r="P61" s="2387"/>
      <c r="Q61" s="2387"/>
      <c r="R61" s="2387"/>
      <c r="S61" s="723"/>
      <c r="T61" s="720"/>
      <c r="U61" s="629"/>
      <c r="V61" s="629"/>
      <c r="W61" s="630"/>
      <c r="X61" s="630"/>
      <c r="Y61" s="630"/>
      <c r="Z61" s="630"/>
      <c r="AA61" s="631"/>
      <c r="AB61" s="632"/>
      <c r="AC61" s="2379"/>
      <c r="AD61" s="633"/>
      <c r="AE61" s="634"/>
      <c r="AF61" s="634"/>
      <c r="AG61" s="635"/>
      <c r="AH61" s="636"/>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30"/>
      <c r="BW61" s="630"/>
      <c r="BX61" s="630"/>
      <c r="BY61" s="630"/>
      <c r="BZ61" s="630"/>
      <c r="CA61" s="630"/>
      <c r="CB61" s="630"/>
      <c r="CC61" s="630"/>
      <c r="CD61" s="630"/>
      <c r="CE61" s="630"/>
      <c r="CF61" s="1854"/>
    </row>
    <row customHeight="1" ht="24.75" hidden="1">
      <c r="A62" s="1810"/>
      <c r="B62" s="1164"/>
      <c r="C62" s="416"/>
      <c r="D62" s="2583"/>
      <c r="E62" s="2380" t="s">
        <v>864</v>
      </c>
      <c r="F62" s="2380"/>
      <c r="G62" s="2380"/>
      <c r="H62" s="2380"/>
      <c r="I62" s="2380"/>
      <c r="J62" s="2380"/>
      <c r="K62" s="2380"/>
      <c r="L62" s="2380"/>
      <c r="M62" s="2380"/>
      <c r="N62" s="2380"/>
      <c r="O62" s="2380"/>
      <c r="P62" s="2380"/>
      <c r="Q62" s="562">
        <f>SUMIF(T63:T64,"i",Q63:Q64)</f>
        <v>0</v>
      </c>
      <c r="R62" s="1021"/>
      <c r="S62" s="1802" t="s">
        <v>865</v>
      </c>
      <c r="T62" s="721" t="s">
        <v>866</v>
      </c>
      <c r="U62" s="2378">
        <v>1</v>
      </c>
      <c r="V62" s="2378" t="s">
        <v>595</v>
      </c>
      <c r="W62" s="1164"/>
      <c r="X62" s="1164"/>
      <c r="Y62" s="1164"/>
      <c r="Z62" s="1164"/>
      <c r="AA62" s="1640"/>
      <c r="AB62" s="1164"/>
      <c r="AC62" s="2379"/>
      <c r="AD62" s="633"/>
      <c r="AE62" s="1164"/>
      <c r="AF62" s="1164"/>
      <c r="AG62" s="1640"/>
      <c r="AH62" s="1640"/>
      <c r="AI62" s="1640"/>
      <c r="AJ62" s="1640"/>
      <c r="AK62" s="1640"/>
      <c r="AL62" s="1640"/>
      <c r="AM62" s="1640"/>
      <c r="AN62" s="1640"/>
      <c r="AO62" s="1640"/>
      <c r="AP62" s="1640"/>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164"/>
      <c r="BW62" s="1164"/>
      <c r="BX62" s="1164"/>
      <c r="BY62" s="1164"/>
      <c r="BZ62" s="1164"/>
      <c r="CA62" s="1164"/>
      <c r="CB62" s="1164"/>
      <c r="CC62" s="1164"/>
      <c r="CD62" s="1164"/>
      <c r="CE62" s="1164"/>
      <c r="CF62" s="1854"/>
    </row>
    <row customHeight="1" ht="11.25" hidden="1">
      <c r="A63" s="1797"/>
      <c r="B63" s="1640"/>
      <c r="C63" s="1640"/>
      <c r="D63" s="2583"/>
      <c r="E63" s="639"/>
      <c r="F63" s="639">
        <v>0</v>
      </c>
      <c r="G63" s="639"/>
      <c r="H63" s="639"/>
      <c r="I63" s="639"/>
      <c r="J63" s="639"/>
      <c r="K63" s="639"/>
      <c r="L63" s="639"/>
      <c r="M63" s="639"/>
      <c r="N63" s="639"/>
      <c r="O63" s="639"/>
      <c r="P63" s="639"/>
      <c r="Q63" s="639"/>
      <c r="R63" s="639"/>
      <c r="S63" s="640"/>
      <c r="T63" s="722"/>
      <c r="U63" s="2378"/>
      <c r="V63" s="2378"/>
      <c r="W63" s="1640"/>
      <c r="X63" s="1640"/>
      <c r="Y63" s="1640"/>
      <c r="Z63" s="1640"/>
      <c r="AA63" s="1640"/>
      <c r="AB63" s="1164"/>
      <c r="AC63" s="2379"/>
      <c r="AD63" s="633"/>
      <c r="AE63" s="1164"/>
      <c r="AF63" s="1164"/>
      <c r="AG63" s="1640"/>
      <c r="AH63" s="1640"/>
      <c r="AI63" s="1640"/>
      <c r="AJ63" s="1640"/>
      <c r="AK63" s="1640"/>
      <c r="AL63" s="1640"/>
      <c r="AM63" s="1640"/>
      <c r="AN63" s="1640"/>
      <c r="AO63" s="1640"/>
      <c r="AP63" s="1640"/>
      <c r="AQ63" s="1640"/>
      <c r="AR63" s="1640"/>
      <c r="AS63" s="1640"/>
      <c r="AT63" s="1640"/>
      <c r="AU63" s="1640"/>
      <c r="AV63" s="1640"/>
      <c r="AW63" s="1640"/>
      <c r="AX63" s="1640"/>
      <c r="AY63" s="1640"/>
      <c r="AZ63" s="1640"/>
      <c r="BA63" s="1640"/>
      <c r="BB63" s="1640"/>
      <c r="BC63" s="1640"/>
      <c r="BD63" s="1640"/>
      <c r="BE63" s="1640"/>
      <c r="BF63" s="1640"/>
      <c r="BG63" s="1640"/>
      <c r="BH63" s="1640"/>
      <c r="BI63" s="1640"/>
      <c r="BJ63" s="1640"/>
      <c r="BK63" s="1640"/>
      <c r="BL63" s="1640"/>
      <c r="BM63" s="1640"/>
      <c r="BN63" s="1640"/>
      <c r="BO63" s="1640"/>
      <c r="BP63" s="1640"/>
      <c r="BQ63" s="1640"/>
      <c r="BR63" s="1640"/>
      <c r="BS63" s="1640"/>
      <c r="BT63" s="1640"/>
      <c r="BU63" s="1640"/>
      <c r="BV63" s="1640"/>
      <c r="BW63" s="1640"/>
      <c r="BX63" s="1640"/>
      <c r="BY63" s="1640"/>
      <c r="BZ63" s="1640"/>
      <c r="CA63" s="1640"/>
      <c r="CB63" s="1640"/>
      <c r="CC63" s="1640"/>
      <c r="CD63" s="1640"/>
      <c r="CE63" s="1640"/>
      <c r="CF63" s="1854"/>
    </row>
    <row customHeight="1" ht="11.25" hidden="1">
      <c r="A64" s="1810"/>
      <c r="B64" s="1164"/>
      <c r="C64" s="416"/>
      <c r="D64" s="2583"/>
      <c r="E64" s="653" t="s">
        <v>22</v>
      </c>
      <c r="F64" s="1172" t="s">
        <v>22</v>
      </c>
      <c r="G64" s="1172" t="s">
        <v>870</v>
      </c>
      <c r="H64" s="655" t="s">
        <v>22</v>
      </c>
      <c r="I64" s="655"/>
      <c r="J64" s="655"/>
      <c r="K64" s="655"/>
      <c r="L64" s="655"/>
      <c r="M64" s="655"/>
      <c r="N64" s="655"/>
      <c r="O64" s="655"/>
      <c r="P64" s="655"/>
      <c r="Q64" s="655"/>
      <c r="R64" s="656"/>
      <c r="S64" s="657"/>
      <c r="T64" s="722"/>
      <c r="U64" s="2378"/>
      <c r="V64" s="2378"/>
      <c r="W64" s="1164"/>
      <c r="X64" s="1164"/>
      <c r="Y64" s="1164"/>
      <c r="Z64" s="1164"/>
      <c r="AA64" s="1640"/>
      <c r="AB64" s="1164"/>
      <c r="AC64" s="2379"/>
      <c r="AD64" s="633"/>
      <c r="AE64" s="1164"/>
      <c r="AF64" s="1164"/>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164"/>
      <c r="BW64" s="1164"/>
      <c r="BX64" s="1164"/>
      <c r="BY64" s="1164"/>
      <c r="BZ64" s="1164"/>
      <c r="CA64" s="1164"/>
      <c r="CB64" s="1164"/>
      <c r="CC64" s="1164"/>
      <c r="CD64" s="1164"/>
      <c r="CE64" s="1164"/>
      <c r="CF64" s="1854"/>
    </row>
    <row customHeight="1" ht="5.25" hidden="1">
      <c r="A65" s="1797"/>
      <c r="B65" s="1640"/>
      <c r="C65" s="1640"/>
      <c r="D65" s="2583"/>
      <c r="E65" s="1043"/>
      <c r="F65" s="1043"/>
      <c r="G65" s="1043"/>
      <c r="H65" s="1043"/>
      <c r="I65" s="1043"/>
      <c r="J65" s="1043"/>
      <c r="K65" s="1043"/>
      <c r="L65" s="1043"/>
      <c r="M65" s="1043"/>
      <c r="N65" s="1043"/>
      <c r="O65" s="1043"/>
      <c r="P65" s="1043"/>
      <c r="Q65" s="1044"/>
      <c r="R65" s="1045"/>
      <c r="S65" s="1046"/>
      <c r="T65" s="721" t="s">
        <v>866</v>
      </c>
      <c r="U65" s="2378">
        <v>1</v>
      </c>
      <c r="V65" s="2378" t="s">
        <v>595</v>
      </c>
      <c r="W65" s="1640"/>
      <c r="X65" s="1640"/>
      <c r="Y65" s="1640"/>
      <c r="Z65" s="1640"/>
      <c r="AA65" s="1640"/>
      <c r="AB65" s="1640"/>
      <c r="AC65" s="1041"/>
      <c r="AD65" s="1042"/>
      <c r="AE65" s="1640"/>
      <c r="AF65" s="1640"/>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0"/>
      <c r="BB65" s="1640"/>
      <c r="BC65" s="1640"/>
      <c r="BD65" s="1640"/>
      <c r="BE65" s="1640"/>
      <c r="BF65" s="1640"/>
      <c r="BG65" s="1640"/>
      <c r="BH65" s="1640"/>
      <c r="BI65" s="1640"/>
      <c r="BJ65" s="1640"/>
      <c r="BK65" s="1640"/>
      <c r="BL65" s="1640"/>
      <c r="BM65" s="1640"/>
      <c r="BN65" s="1640"/>
      <c r="BO65" s="1640"/>
      <c r="BP65" s="1640"/>
      <c r="BQ65" s="1640"/>
      <c r="BR65" s="1640"/>
      <c r="BS65" s="1640"/>
      <c r="BT65" s="1640"/>
      <c r="BU65" s="1640"/>
      <c r="BV65" s="1640"/>
      <c r="BW65" s="1640"/>
      <c r="BX65" s="1640"/>
      <c r="BY65" s="1640"/>
      <c r="BZ65" s="1640"/>
      <c r="CA65" s="1640"/>
      <c r="CB65" s="1640"/>
      <c r="CC65" s="1640"/>
      <c r="CD65" s="1640"/>
      <c r="CE65" s="1640"/>
      <c r="CF65" s="1320"/>
    </row>
    <row customHeight="1" ht="5.25" hidden="1">
      <c r="A66" s="1797"/>
      <c r="B66" s="1640"/>
      <c r="C66" s="1640"/>
      <c r="D66" s="2583"/>
      <c r="E66" s="639"/>
      <c r="F66" s="639"/>
      <c r="G66" s="639"/>
      <c r="H66" s="639"/>
      <c r="I66" s="639"/>
      <c r="J66" s="639"/>
      <c r="K66" s="639"/>
      <c r="L66" s="639"/>
      <c r="M66" s="639"/>
      <c r="N66" s="639"/>
      <c r="O66" s="639"/>
      <c r="P66" s="639"/>
      <c r="Q66" s="639"/>
      <c r="R66" s="639"/>
      <c r="S66" s="640"/>
      <c r="T66" s="722"/>
      <c r="U66" s="2378"/>
      <c r="V66" s="2378"/>
      <c r="W66" s="1640"/>
      <c r="X66" s="1640"/>
      <c r="Y66" s="1640"/>
      <c r="Z66" s="1640"/>
      <c r="AA66" s="1640"/>
      <c r="AB66" s="1640"/>
      <c r="AC66" s="1041"/>
      <c r="AD66" s="1042"/>
      <c r="AE66" s="1640"/>
      <c r="AF66" s="1640"/>
      <c r="AG66" s="1640"/>
      <c r="AH66" s="1640"/>
      <c r="AI66" s="1640"/>
      <c r="AJ66" s="1640"/>
      <c r="AK66" s="1640"/>
      <c r="AL66" s="1640"/>
      <c r="AM66" s="1640"/>
      <c r="AN66" s="1640"/>
      <c r="AO66" s="1640"/>
      <c r="AP66" s="1640"/>
      <c r="AQ66" s="1640"/>
      <c r="AR66" s="1640"/>
      <c r="AS66" s="1640"/>
      <c r="AT66" s="1640"/>
      <c r="AU66" s="1640"/>
      <c r="AV66" s="1640"/>
      <c r="AW66" s="1640"/>
      <c r="AX66" s="1640"/>
      <c r="AY66" s="1640"/>
      <c r="AZ66" s="1640"/>
      <c r="BA66" s="1640"/>
      <c r="BB66" s="1640"/>
      <c r="BC66" s="1640"/>
      <c r="BD66" s="1640"/>
      <c r="BE66" s="1640"/>
      <c r="BF66" s="1640"/>
      <c r="BG66" s="1640"/>
      <c r="BH66" s="1640"/>
      <c r="BI66" s="1640"/>
      <c r="BJ66" s="1640"/>
      <c r="BK66" s="1640"/>
      <c r="BL66" s="1640"/>
      <c r="BM66" s="1640"/>
      <c r="BN66" s="1640"/>
      <c r="BO66" s="1640"/>
      <c r="BP66" s="1640"/>
      <c r="BQ66" s="1640"/>
      <c r="BR66" s="1640"/>
      <c r="BS66" s="1640"/>
      <c r="BT66" s="1640"/>
      <c r="BU66" s="1640"/>
      <c r="BV66" s="1640"/>
      <c r="BW66" s="1640"/>
      <c r="BX66" s="1640"/>
      <c r="BY66" s="1640"/>
      <c r="BZ66" s="1640"/>
      <c r="CA66" s="1640"/>
      <c r="CB66" s="1640"/>
      <c r="CC66" s="1640"/>
      <c r="CD66" s="1640"/>
      <c r="CE66" s="1640"/>
      <c r="CF66" s="1320"/>
    </row>
    <row customHeight="1" ht="5.25" hidden="1">
      <c r="A67" s="1797"/>
      <c r="B67" s="1640"/>
      <c r="C67" s="1640"/>
      <c r="D67" s="2584"/>
      <c r="E67" s="1047"/>
      <c r="F67" s="1048"/>
      <c r="G67" s="1048"/>
      <c r="H67" s="1049"/>
      <c r="I67" s="1049"/>
      <c r="J67" s="1049"/>
      <c r="K67" s="1049"/>
      <c r="L67" s="1049"/>
      <c r="M67" s="1049"/>
      <c r="N67" s="1049"/>
      <c r="O67" s="1049"/>
      <c r="P67" s="1049"/>
      <c r="Q67" s="1049"/>
      <c r="R67" s="950"/>
      <c r="S67" s="1050"/>
      <c r="T67" s="722"/>
      <c r="U67" s="2378"/>
      <c r="V67" s="2378"/>
      <c r="W67" s="1640"/>
      <c r="X67" s="1640"/>
      <c r="Y67" s="1640"/>
      <c r="Z67" s="1640"/>
      <c r="AA67" s="1640"/>
      <c r="AB67" s="1640"/>
      <c r="AC67" s="1041"/>
      <c r="AD67" s="1042"/>
      <c r="AE67" s="1640"/>
      <c r="AF67" s="1640"/>
      <c r="AG67" s="1640"/>
      <c r="AH67" s="1640"/>
      <c r="AI67" s="1640"/>
      <c r="AJ67" s="1640"/>
      <c r="AK67" s="1640"/>
      <c r="AL67" s="1640"/>
      <c r="AM67" s="1640"/>
      <c r="AN67" s="1640"/>
      <c r="AO67" s="1640"/>
      <c r="AP67" s="1640"/>
      <c r="AQ67" s="1640"/>
      <c r="AR67" s="1640"/>
      <c r="AS67" s="1640"/>
      <c r="AT67" s="1640"/>
      <c r="AU67" s="1640"/>
      <c r="AV67" s="1640"/>
      <c r="AW67" s="1640"/>
      <c r="AX67" s="1640"/>
      <c r="AY67" s="1640"/>
      <c r="AZ67" s="1640"/>
      <c r="BA67" s="1640"/>
      <c r="BB67" s="1640"/>
      <c r="BC67" s="1640"/>
      <c r="BD67" s="1640"/>
      <c r="BE67" s="1640"/>
      <c r="BF67" s="1640"/>
      <c r="BG67" s="1640"/>
      <c r="BH67" s="1640"/>
      <c r="BI67" s="1640"/>
      <c r="BJ67" s="1640"/>
      <c r="BK67" s="1640"/>
      <c r="BL67" s="1640"/>
      <c r="BM67" s="1640"/>
      <c r="BN67" s="1640"/>
      <c r="BO67" s="1640"/>
      <c r="BP67" s="1640"/>
      <c r="BQ67" s="1640"/>
      <c r="BR67" s="1640"/>
      <c r="BS67" s="1640"/>
      <c r="BT67" s="1640"/>
      <c r="BU67" s="1640"/>
      <c r="BV67" s="1640"/>
      <c r="BW67" s="1640"/>
      <c r="BX67" s="1640"/>
      <c r="BY67" s="1640"/>
      <c r="BZ67" s="1640"/>
      <c r="CA67" s="1640"/>
      <c r="CB67" s="1640"/>
      <c r="CC67" s="1640"/>
      <c r="CD67" s="1640"/>
      <c r="CE67" s="1640"/>
      <c r="CF67" s="1320"/>
    </row>
    <row customHeight="1" ht="15" hidden="1">
      <c r="A68" s="627" t="s">
        <v>139</v>
      </c>
      <c r="B68" s="628"/>
      <c r="C68" s="628" t="s">
        <v>22</v>
      </c>
      <c r="D68" s="2582" t="s">
        <v>875</v>
      </c>
      <c r="E68" s="2381" t="s">
        <v>115</v>
      </c>
      <c r="F68" s="2382"/>
      <c r="G68" s="2383"/>
      <c r="H68" s="2387" t="str">
        <f>IF(A68="","",INDEX(DIFFERENTIATION_UNMERGE_VD,MATCH(A68,DIFFERENTIATION_ID_DIFF,0)))</f>
        <v>Поддержание резервной тепловой мощности при отсутствии потребления тепловой энергии</v>
      </c>
      <c r="I68" s="2387"/>
      <c r="J68" s="2387"/>
      <c r="K68" s="2387"/>
      <c r="L68" s="2387"/>
      <c r="M68" s="2387"/>
      <c r="N68" s="2387"/>
      <c r="O68" s="2387"/>
      <c r="P68" s="2387"/>
      <c r="Q68" s="2387"/>
      <c r="R68" s="2387"/>
      <c r="S68" s="723"/>
      <c r="T68" s="720"/>
      <c r="U68" s="629"/>
      <c r="V68" s="629"/>
      <c r="W68" s="630"/>
      <c r="X68" s="630"/>
      <c r="Y68" s="630"/>
      <c r="Z68" s="630"/>
      <c r="AA68" s="631"/>
      <c r="AB68" s="632"/>
      <c r="AC68" s="2379"/>
      <c r="AD68" s="633"/>
      <c r="AE68" s="634" t="s">
        <v>22</v>
      </c>
      <c r="AF68" s="634"/>
      <c r="AG68" s="635" t="s">
        <v>863</v>
      </c>
      <c r="AH68" s="636">
        <v>3</v>
      </c>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30"/>
      <c r="BW68" s="630"/>
      <c r="BX68" s="630"/>
      <c r="BY68" s="630"/>
      <c r="BZ68" s="630"/>
      <c r="CA68" s="630"/>
      <c r="CB68" s="630"/>
      <c r="CC68" s="630"/>
      <c r="CD68" s="630"/>
      <c r="CE68" s="630"/>
      <c r="CF68" s="1854"/>
    </row>
    <row customHeight="1" ht="15" hidden="1">
      <c r="A69" s="627"/>
      <c r="B69" s="628"/>
      <c r="C69" s="628"/>
      <c r="D69" s="2583"/>
      <c r="E69" s="2381" t="s">
        <v>582</v>
      </c>
      <c r="F69" s="2382"/>
      <c r="G69" s="2383"/>
      <c r="H69" s="2387" t="str">
        <f>IF(A68="","",INDEX(DIFFERENTIATION_UNMERGE_AREA,MATCH(A68,DIFFERENTIATION_ID_DIFF,0)))</f>
        <v>Территория 1</v>
      </c>
      <c r="I69" s="2387"/>
      <c r="J69" s="2387"/>
      <c r="K69" s="2387"/>
      <c r="L69" s="2387"/>
      <c r="M69" s="2387"/>
      <c r="N69" s="2387"/>
      <c r="O69" s="2387"/>
      <c r="P69" s="2387"/>
      <c r="Q69" s="2387"/>
      <c r="R69" s="2387"/>
      <c r="S69" s="723"/>
      <c r="T69" s="720"/>
      <c r="U69" s="629"/>
      <c r="V69" s="629"/>
      <c r="W69" s="630"/>
      <c r="X69" s="630"/>
      <c r="Y69" s="630"/>
      <c r="Z69" s="630"/>
      <c r="AA69" s="631"/>
      <c r="AB69" s="632"/>
      <c r="AC69" s="2379"/>
      <c r="AD69" s="633"/>
      <c r="AE69" s="634"/>
      <c r="AF69" s="634"/>
      <c r="AG69" s="635"/>
      <c r="AH69" s="636"/>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30"/>
      <c r="BW69" s="630"/>
      <c r="BX69" s="630"/>
      <c r="BY69" s="630"/>
      <c r="BZ69" s="630"/>
      <c r="CA69" s="630"/>
      <c r="CB69" s="630"/>
      <c r="CC69" s="630"/>
      <c r="CD69" s="630"/>
      <c r="CE69" s="630"/>
      <c r="CF69" s="1854"/>
    </row>
    <row customHeight="1" ht="15" hidden="1">
      <c r="A70" s="627"/>
      <c r="B70" s="628"/>
      <c r="C70" s="628"/>
      <c r="D70" s="2583"/>
      <c r="E70" s="2381" t="s">
        <v>583</v>
      </c>
      <c r="F70" s="2382"/>
      <c r="G70" s="2383"/>
      <c r="H70" s="2387" t="str">
        <f>IF(A68="","",INDEX(DIFFERENTIATION_UNMERGE_SYSTEM,MATCH(A68,DIFFERENTIATION_ID_DIFF,0)))</f>
        <v>без дифференциации</v>
      </c>
      <c r="I70" s="2387"/>
      <c r="J70" s="2387"/>
      <c r="K70" s="2387"/>
      <c r="L70" s="2387"/>
      <c r="M70" s="2387"/>
      <c r="N70" s="2387"/>
      <c r="O70" s="2387"/>
      <c r="P70" s="2387"/>
      <c r="Q70" s="2387"/>
      <c r="R70" s="2387"/>
      <c r="S70" s="723"/>
      <c r="T70" s="720"/>
      <c r="U70" s="629"/>
      <c r="V70" s="629"/>
      <c r="W70" s="630"/>
      <c r="X70" s="630"/>
      <c r="Y70" s="630"/>
      <c r="Z70" s="630"/>
      <c r="AA70" s="631"/>
      <c r="AB70" s="632"/>
      <c r="AC70" s="2379"/>
      <c r="AD70" s="633"/>
      <c r="AE70" s="634"/>
      <c r="AF70" s="634"/>
      <c r="AG70" s="635"/>
      <c r="AH70" s="636"/>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30"/>
      <c r="BW70" s="630"/>
      <c r="BX70" s="630"/>
      <c r="BY70" s="630"/>
      <c r="BZ70" s="630"/>
      <c r="CA70" s="630"/>
      <c r="CB70" s="630"/>
      <c r="CC70" s="630"/>
      <c r="CD70" s="630"/>
      <c r="CE70" s="630"/>
      <c r="CF70" s="1854"/>
    </row>
    <row customHeight="1" ht="24.75" hidden="1">
      <c r="A71" s="1810"/>
      <c r="B71" s="1164"/>
      <c r="C71" s="416"/>
      <c r="D71" s="2583"/>
      <c r="E71" s="2380" t="s">
        <v>864</v>
      </c>
      <c r="F71" s="2380"/>
      <c r="G71" s="2380"/>
      <c r="H71" s="2380"/>
      <c r="I71" s="2380"/>
      <c r="J71" s="2380"/>
      <c r="K71" s="2380"/>
      <c r="L71" s="2380"/>
      <c r="M71" s="2380"/>
      <c r="N71" s="2380"/>
      <c r="O71" s="2380"/>
      <c r="P71" s="2380"/>
      <c r="Q71" s="562">
        <f>SUMIF(T72:T73,"i",Q72:Q73)</f>
        <v>0</v>
      </c>
      <c r="R71" s="1021"/>
      <c r="S71" s="1802" t="s">
        <v>865</v>
      </c>
      <c r="T71" s="721" t="s">
        <v>866</v>
      </c>
      <c r="U71" s="2378">
        <v>1</v>
      </c>
      <c r="V71" s="2378" t="s">
        <v>595</v>
      </c>
      <c r="W71" s="1164"/>
      <c r="X71" s="1164"/>
      <c r="Y71" s="1164"/>
      <c r="Z71" s="1164"/>
      <c r="AA71" s="1640"/>
      <c r="AB71" s="1164"/>
      <c r="AC71" s="2379"/>
      <c r="AD71" s="633"/>
      <c r="AE71" s="1164"/>
      <c r="AF71" s="1164"/>
      <c r="AG71" s="1640"/>
      <c r="AH71" s="1640"/>
      <c r="AI71" s="1640"/>
      <c r="AJ71" s="1640"/>
      <c r="AK71" s="1640"/>
      <c r="AL71" s="1640"/>
      <c r="AM71" s="1640"/>
      <c r="AN71" s="1640"/>
      <c r="AO71" s="1640"/>
      <c r="AP71" s="1640"/>
      <c r="AQ71" s="1640"/>
      <c r="AR71" s="1640"/>
      <c r="AS71" s="1640"/>
      <c r="AT71" s="1640"/>
      <c r="AU71" s="1640"/>
      <c r="AV71" s="1640"/>
      <c r="AW71" s="1640"/>
      <c r="AX71" s="1640"/>
      <c r="AY71" s="1640"/>
      <c r="AZ71" s="1640"/>
      <c r="BA71" s="1640"/>
      <c r="BB71" s="1640"/>
      <c r="BC71" s="1640"/>
      <c r="BD71" s="1640"/>
      <c r="BE71" s="1640"/>
      <c r="BF71" s="1640"/>
      <c r="BG71" s="1640"/>
      <c r="BH71" s="1640"/>
      <c r="BI71" s="1640"/>
      <c r="BJ71" s="1640"/>
      <c r="BK71" s="1640"/>
      <c r="BL71" s="1640"/>
      <c r="BM71" s="1640"/>
      <c r="BN71" s="1640"/>
      <c r="BO71" s="1640"/>
      <c r="BP71" s="1640"/>
      <c r="BQ71" s="1640"/>
      <c r="BR71" s="1640"/>
      <c r="BS71" s="1640"/>
      <c r="BT71" s="1640"/>
      <c r="BU71" s="1640"/>
      <c r="BV71" s="1164"/>
      <c r="BW71" s="1164"/>
      <c r="BX71" s="1164"/>
      <c r="BY71" s="1164"/>
      <c r="BZ71" s="1164"/>
      <c r="CA71" s="1164"/>
      <c r="CB71" s="1164"/>
      <c r="CC71" s="1164"/>
      <c r="CD71" s="1164"/>
      <c r="CE71" s="1164"/>
      <c r="CF71" s="1854"/>
    </row>
    <row customHeight="1" ht="11.25" hidden="1">
      <c r="A72" s="1797"/>
      <c r="B72" s="1640"/>
      <c r="C72" s="1640"/>
      <c r="D72" s="2583"/>
      <c r="E72" s="639"/>
      <c r="F72" s="639">
        <v>0</v>
      </c>
      <c r="G72" s="639"/>
      <c r="H72" s="639"/>
      <c r="I72" s="639"/>
      <c r="J72" s="639"/>
      <c r="K72" s="639"/>
      <c r="L72" s="639"/>
      <c r="M72" s="639"/>
      <c r="N72" s="639"/>
      <c r="O72" s="639"/>
      <c r="P72" s="639"/>
      <c r="Q72" s="639"/>
      <c r="R72" s="639"/>
      <c r="S72" s="640"/>
      <c r="T72" s="722"/>
      <c r="U72" s="2378"/>
      <c r="V72" s="2378"/>
      <c r="W72" s="1640"/>
      <c r="X72" s="1640"/>
      <c r="Y72" s="1640"/>
      <c r="Z72" s="1640"/>
      <c r="AA72" s="1640"/>
      <c r="AB72" s="1164"/>
      <c r="AC72" s="2379"/>
      <c r="AD72" s="633"/>
      <c r="AE72" s="1164"/>
      <c r="AF72" s="1164"/>
      <c r="AG72" s="1640"/>
      <c r="AH72" s="1640"/>
      <c r="AI72" s="1640"/>
      <c r="AJ72" s="1640"/>
      <c r="AK72" s="1640"/>
      <c r="AL72" s="1640"/>
      <c r="AM72" s="1640"/>
      <c r="AN72" s="1640"/>
      <c r="AO72" s="1640"/>
      <c r="AP72" s="1640"/>
      <c r="AQ72" s="1640"/>
      <c r="AR72" s="1640"/>
      <c r="AS72" s="1640"/>
      <c r="AT72" s="1640"/>
      <c r="AU72" s="1640"/>
      <c r="AV72" s="1640"/>
      <c r="AW72" s="1640"/>
      <c r="AX72" s="1640"/>
      <c r="AY72" s="1640"/>
      <c r="AZ72" s="1640"/>
      <c r="BA72" s="1640"/>
      <c r="BB72" s="1640"/>
      <c r="BC72" s="1640"/>
      <c r="BD72" s="1640"/>
      <c r="BE72" s="1640"/>
      <c r="BF72" s="1640"/>
      <c r="BG72" s="1640"/>
      <c r="BH72" s="1640"/>
      <c r="BI72" s="1640"/>
      <c r="BJ72" s="1640"/>
      <c r="BK72" s="1640"/>
      <c r="BL72" s="1640"/>
      <c r="BM72" s="1640"/>
      <c r="BN72" s="1640"/>
      <c r="BO72" s="1640"/>
      <c r="BP72" s="1640"/>
      <c r="BQ72" s="1640"/>
      <c r="BR72" s="1640"/>
      <c r="BS72" s="1640"/>
      <c r="BT72" s="1640"/>
      <c r="BU72" s="1640"/>
      <c r="BV72" s="1640"/>
      <c r="BW72" s="1640"/>
      <c r="BX72" s="1640"/>
      <c r="BY72" s="1640"/>
      <c r="BZ72" s="1640"/>
      <c r="CA72" s="1640"/>
      <c r="CB72" s="1640"/>
      <c r="CC72" s="1640"/>
      <c r="CD72" s="1640"/>
      <c r="CE72" s="1640"/>
      <c r="CF72" s="1854"/>
    </row>
    <row customHeight="1" ht="11.25" hidden="1">
      <c r="A73" s="1810"/>
      <c r="B73" s="1164"/>
      <c r="C73" s="416"/>
      <c r="D73" s="2583"/>
      <c r="E73" s="653" t="s">
        <v>22</v>
      </c>
      <c r="F73" s="1172" t="s">
        <v>22</v>
      </c>
      <c r="G73" s="1172" t="s">
        <v>870</v>
      </c>
      <c r="H73" s="655" t="s">
        <v>22</v>
      </c>
      <c r="I73" s="655"/>
      <c r="J73" s="655"/>
      <c r="K73" s="655"/>
      <c r="L73" s="655"/>
      <c r="M73" s="655"/>
      <c r="N73" s="655"/>
      <c r="O73" s="655"/>
      <c r="P73" s="655"/>
      <c r="Q73" s="655"/>
      <c r="R73" s="656"/>
      <c r="S73" s="657"/>
      <c r="T73" s="722"/>
      <c r="U73" s="2378"/>
      <c r="V73" s="2378"/>
      <c r="W73" s="1164"/>
      <c r="X73" s="1164"/>
      <c r="Y73" s="1164"/>
      <c r="Z73" s="1164"/>
      <c r="AA73" s="1640"/>
      <c r="AB73" s="1164"/>
      <c r="AC73" s="2379"/>
      <c r="AD73" s="633"/>
      <c r="AE73" s="1164"/>
      <c r="AF73" s="1164"/>
      <c r="AG73" s="1640"/>
      <c r="AH73" s="1640"/>
      <c r="AI73" s="1640"/>
      <c r="AJ73" s="1640"/>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0"/>
      <c r="BI73" s="1640"/>
      <c r="BJ73" s="1640"/>
      <c r="BK73" s="1640"/>
      <c r="BL73" s="1640"/>
      <c r="BM73" s="1640"/>
      <c r="BN73" s="1640"/>
      <c r="BO73" s="1640"/>
      <c r="BP73" s="1640"/>
      <c r="BQ73" s="1640"/>
      <c r="BR73" s="1640"/>
      <c r="BS73" s="1640"/>
      <c r="BT73" s="1640"/>
      <c r="BU73" s="1640"/>
      <c r="BV73" s="1164"/>
      <c r="BW73" s="1164"/>
      <c r="BX73" s="1164"/>
      <c r="BY73" s="1164"/>
      <c r="BZ73" s="1164"/>
      <c r="CA73" s="1164"/>
      <c r="CB73" s="1164"/>
      <c r="CC73" s="1164"/>
      <c r="CD73" s="1164"/>
      <c r="CE73" s="1164"/>
      <c r="CF73" s="1854"/>
    </row>
    <row customHeight="1" ht="5.25" hidden="1">
      <c r="A74" s="1797"/>
      <c r="B74" s="1640"/>
      <c r="C74" s="1640"/>
      <c r="D74" s="2583"/>
      <c r="E74" s="1043"/>
      <c r="F74" s="1043"/>
      <c r="G74" s="1043"/>
      <c r="H74" s="1043"/>
      <c r="I74" s="1043"/>
      <c r="J74" s="1043"/>
      <c r="K74" s="1043"/>
      <c r="L74" s="1043"/>
      <c r="M74" s="1043"/>
      <c r="N74" s="1043"/>
      <c r="O74" s="1043"/>
      <c r="P74" s="1043"/>
      <c r="Q74" s="1044"/>
      <c r="R74" s="1045"/>
      <c r="S74" s="1046"/>
      <c r="T74" s="721" t="s">
        <v>866</v>
      </c>
      <c r="U74" s="2378">
        <v>1</v>
      </c>
      <c r="V74" s="2378" t="s">
        <v>595</v>
      </c>
      <c r="W74" s="1640"/>
      <c r="X74" s="1640"/>
      <c r="Y74" s="1640"/>
      <c r="Z74" s="1640"/>
      <c r="AA74" s="1640"/>
      <c r="AB74" s="1640"/>
      <c r="AC74" s="1041"/>
      <c r="AD74" s="1042"/>
      <c r="AE74" s="1640"/>
      <c r="AF74" s="1640"/>
      <c r="AG74" s="1640"/>
      <c r="AH74" s="1640"/>
      <c r="AI74" s="1640"/>
      <c r="AJ74" s="1640"/>
      <c r="AK74" s="1640"/>
      <c r="AL74" s="1640"/>
      <c r="AM74" s="1640"/>
      <c r="AN74" s="1640"/>
      <c r="AO74" s="1640"/>
      <c r="AP74" s="1640"/>
      <c r="AQ74" s="1640"/>
      <c r="AR74" s="1640"/>
      <c r="AS74" s="1640"/>
      <c r="AT74" s="1640"/>
      <c r="AU74" s="1640"/>
      <c r="AV74" s="1640"/>
      <c r="AW74" s="1640"/>
      <c r="AX74" s="1640"/>
      <c r="AY74" s="1640"/>
      <c r="AZ74" s="1640"/>
      <c r="BA74" s="1640"/>
      <c r="BB74" s="1640"/>
      <c r="BC74" s="1640"/>
      <c r="BD74" s="1640"/>
      <c r="BE74" s="1640"/>
      <c r="BF74" s="1640"/>
      <c r="BG74" s="1640"/>
      <c r="BH74" s="1640"/>
      <c r="BI74" s="1640"/>
      <c r="BJ74" s="1640"/>
      <c r="BK74" s="1640"/>
      <c r="BL74" s="1640"/>
      <c r="BM74" s="1640"/>
      <c r="BN74" s="1640"/>
      <c r="BO74" s="1640"/>
      <c r="BP74" s="1640"/>
      <c r="BQ74" s="1640"/>
      <c r="BR74" s="1640"/>
      <c r="BS74" s="1640"/>
      <c r="BT74" s="1640"/>
      <c r="BU74" s="1640"/>
      <c r="BV74" s="1640"/>
      <c r="BW74" s="1640"/>
      <c r="BX74" s="1640"/>
      <c r="BY74" s="1640"/>
      <c r="BZ74" s="1640"/>
      <c r="CA74" s="1640"/>
      <c r="CB74" s="1640"/>
      <c r="CC74" s="1640"/>
      <c r="CD74" s="1640"/>
      <c r="CE74" s="1640"/>
      <c r="CF74" s="1320"/>
    </row>
    <row customHeight="1" ht="5.25" hidden="1">
      <c r="A75" s="1797"/>
      <c r="B75" s="1640"/>
      <c r="C75" s="1640"/>
      <c r="D75" s="2583"/>
      <c r="E75" s="639"/>
      <c r="F75" s="639"/>
      <c r="G75" s="639"/>
      <c r="H75" s="639"/>
      <c r="I75" s="639"/>
      <c r="J75" s="639"/>
      <c r="K75" s="639"/>
      <c r="L75" s="639"/>
      <c r="M75" s="639"/>
      <c r="N75" s="639"/>
      <c r="O75" s="639"/>
      <c r="P75" s="639"/>
      <c r="Q75" s="639"/>
      <c r="R75" s="639"/>
      <c r="S75" s="640"/>
      <c r="T75" s="722"/>
      <c r="U75" s="2378"/>
      <c r="V75" s="2378"/>
      <c r="W75" s="1640"/>
      <c r="X75" s="1640"/>
      <c r="Y75" s="1640"/>
      <c r="Z75" s="1640"/>
      <c r="AA75" s="1640"/>
      <c r="AB75" s="1640"/>
      <c r="AC75" s="1041"/>
      <c r="AD75" s="1042"/>
      <c r="AE75" s="1640"/>
      <c r="AF75" s="1640"/>
      <c r="AG75" s="1640"/>
      <c r="AH75" s="1640"/>
      <c r="AI75" s="1640"/>
      <c r="AJ75" s="1640"/>
      <c r="AK75" s="1640"/>
      <c r="AL75" s="1640"/>
      <c r="AM75" s="1640"/>
      <c r="AN75" s="1640"/>
      <c r="AO75" s="1640"/>
      <c r="AP75" s="1640"/>
      <c r="AQ75" s="1640"/>
      <c r="AR75" s="1640"/>
      <c r="AS75" s="1640"/>
      <c r="AT75" s="1640"/>
      <c r="AU75" s="1640"/>
      <c r="AV75" s="1640"/>
      <c r="AW75" s="1640"/>
      <c r="AX75" s="1640"/>
      <c r="AY75" s="1640"/>
      <c r="AZ75" s="1640"/>
      <c r="BA75" s="1640"/>
      <c r="BB75" s="1640"/>
      <c r="BC75" s="1640"/>
      <c r="BD75" s="1640"/>
      <c r="BE75" s="1640"/>
      <c r="BF75" s="1640"/>
      <c r="BG75" s="1640"/>
      <c r="BH75" s="1640"/>
      <c r="BI75" s="1640"/>
      <c r="BJ75" s="1640"/>
      <c r="BK75" s="1640"/>
      <c r="BL75" s="1640"/>
      <c r="BM75" s="1640"/>
      <c r="BN75" s="1640"/>
      <c r="BO75" s="1640"/>
      <c r="BP75" s="1640"/>
      <c r="BQ75" s="1640"/>
      <c r="BR75" s="1640"/>
      <c r="BS75" s="1640"/>
      <c r="BT75" s="1640"/>
      <c r="BU75" s="1640"/>
      <c r="BV75" s="1640"/>
      <c r="BW75" s="1640"/>
      <c r="BX75" s="1640"/>
      <c r="BY75" s="1640"/>
      <c r="BZ75" s="1640"/>
      <c r="CA75" s="1640"/>
      <c r="CB75" s="1640"/>
      <c r="CC75" s="1640"/>
      <c r="CD75" s="1640"/>
      <c r="CE75" s="1640"/>
      <c r="CF75" s="1320"/>
    </row>
    <row customHeight="1" ht="5.25" hidden="1">
      <c r="A76" s="1797"/>
      <c r="B76" s="1640"/>
      <c r="C76" s="1640"/>
      <c r="D76" s="2584"/>
      <c r="E76" s="1047"/>
      <c r="F76" s="1048"/>
      <c r="G76" s="1048"/>
      <c r="H76" s="1049"/>
      <c r="I76" s="1049"/>
      <c r="J76" s="1049"/>
      <c r="K76" s="1049"/>
      <c r="L76" s="1049"/>
      <c r="M76" s="1049"/>
      <c r="N76" s="1049"/>
      <c r="O76" s="1049"/>
      <c r="P76" s="1049"/>
      <c r="Q76" s="1049"/>
      <c r="R76" s="950"/>
      <c r="S76" s="1050"/>
      <c r="T76" s="722"/>
      <c r="U76" s="2378"/>
      <c r="V76" s="2378"/>
      <c r="W76" s="1640"/>
      <c r="X76" s="1640"/>
      <c r="Y76" s="1640"/>
      <c r="Z76" s="1640"/>
      <c r="AA76" s="1640"/>
      <c r="AB76" s="1640"/>
      <c r="AC76" s="1041"/>
      <c r="AD76" s="1042"/>
      <c r="AE76" s="1640"/>
      <c r="AF76" s="1640"/>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640"/>
      <c r="BW76" s="1640"/>
      <c r="BX76" s="1640"/>
      <c r="BY76" s="1640"/>
      <c r="BZ76" s="1640"/>
      <c r="CA76" s="1640"/>
      <c r="CB76" s="1640"/>
      <c r="CC76" s="1640"/>
      <c r="CD76" s="1640"/>
      <c r="CE76" s="1640"/>
      <c r="CF76" s="1320"/>
    </row>
    <row customHeight="1" ht="19.95">
      <c r="D77" s="1051"/>
      <c r="E77" s="1051"/>
      <c r="F77" s="1051"/>
      <c r="G77" s="1051"/>
      <c r="H77" s="1051"/>
      <c r="I77" s="1051"/>
      <c r="J77" s="1051"/>
      <c r="K77" s="1051"/>
      <c r="L77" s="1051"/>
      <c r="M77" s="1051"/>
      <c r="N77" s="1051"/>
      <c r="O77" s="1051"/>
      <c r="P77" s="1051"/>
      <c r="Q77" s="1051"/>
      <c r="R77" s="1051"/>
      <c r="S77" s="1051"/>
      <c r="T77" s="338"/>
      <c r="CF77" s="509">
        <v>19</v>
      </c>
    </row>
    <row customHeight="1" ht="11.549999999999999">
      <c r="D78" s="513"/>
      <c r="CF78" s="509">
        <v>11</v>
      </c>
    </row>
    <row customHeight="1" ht="11.549999999999999">
      <c r="D79" s="658"/>
      <c r="E79" s="658"/>
      <c r="F79" s="658"/>
      <c r="G79" s="659"/>
      <c r="CF79" s="509">
        <v>11</v>
      </c>
    </row>
    <row customHeight="1" ht="11.549999999999999">
      <c r="CF80" s="509">
        <v>11</v>
      </c>
    </row>
    <row customHeight="1" ht="11.549999999999999">
      <c r="D81" s="660"/>
      <c r="E81" s="2388"/>
      <c r="F81" s="2388"/>
      <c r="G81" s="2388"/>
      <c r="H81" s="2388"/>
      <c r="I81" s="2388"/>
      <c r="J81" s="2388"/>
      <c r="K81" s="2388"/>
      <c r="L81" s="2388"/>
      <c r="M81" s="2388"/>
      <c r="N81" s="2388"/>
      <c r="O81" s="2388"/>
      <c r="P81" s="2388"/>
      <c r="Q81" s="2388"/>
      <c r="R81" s="2388"/>
      <c r="CF81" s="509">
        <v>11</v>
      </c>
    </row>
    <row customHeight="1" ht="11.549999999999999">
      <c r="F82" s="762"/>
      <c r="G82" s="762"/>
      <c r="CF82" s="509">
        <v>11</v>
      </c>
    </row>
    <row customHeight="1" ht="11.25" hidden="1">
      <c r="A83" s="614" t="s">
        <v>82</v>
      </c>
      <c r="B83" s="453">
        <v>0</v>
      </c>
      <c r="C83" s="509">
        <v>3</v>
      </c>
      <c r="D83" s="509">
        <v>0</v>
      </c>
      <c r="E83" s="509">
        <v>7</v>
      </c>
      <c r="F83" s="509">
        <v>7</v>
      </c>
      <c r="G83" s="509">
        <v>29</v>
      </c>
      <c r="H83" s="509">
        <v>3</v>
      </c>
      <c r="I83" s="509">
        <v>5</v>
      </c>
      <c r="J83" s="509">
        <v>24</v>
      </c>
      <c r="K83" s="509">
        <v>24</v>
      </c>
      <c r="L83" s="509">
        <v>3</v>
      </c>
      <c r="M83" s="509">
        <v>6</v>
      </c>
      <c r="N83" s="509">
        <v>25</v>
      </c>
      <c r="O83" s="509">
        <v>18</v>
      </c>
      <c r="P83" s="509">
        <v>18</v>
      </c>
      <c r="Q83" s="509">
        <v>18</v>
      </c>
      <c r="R83" s="509">
        <v>18</v>
      </c>
      <c r="S83" s="509">
        <v>93</v>
      </c>
      <c r="T83" s="509">
        <v>10</v>
      </c>
      <c r="U83" s="615">
        <v>10</v>
      </c>
      <c r="V83" s="615">
        <v>11</v>
      </c>
      <c r="W83" s="616">
        <v>10</v>
      </c>
      <c r="X83" s="453">
        <v>10</v>
      </c>
      <c r="Y83" s="453">
        <v>10</v>
      </c>
      <c r="Z83" s="453">
        <v>10</v>
      </c>
      <c r="AA83" s="453">
        <v>10</v>
      </c>
      <c r="AB83" s="509">
        <v>8</v>
      </c>
      <c r="AC83" s="509">
        <v>8</v>
      </c>
      <c r="AD83" s="509">
        <v>8</v>
      </c>
      <c r="AE83" s="509">
        <v>8</v>
      </c>
      <c r="AF83" s="509">
        <v>8</v>
      </c>
      <c r="AG83" s="509">
        <v>8</v>
      </c>
      <c r="AH83" s="509">
        <v>8</v>
      </c>
      <c r="AI83" s="509">
        <v>8</v>
      </c>
      <c r="AJ83" s="509">
        <v>8</v>
      </c>
      <c r="AK83" s="509">
        <v>8</v>
      </c>
      <c r="AL83" s="509">
        <v>8</v>
      </c>
      <c r="AM83" s="509">
        <v>8</v>
      </c>
      <c r="AN83" s="509">
        <v>8</v>
      </c>
      <c r="AO83" s="509">
        <v>8</v>
      </c>
      <c r="AP83" s="509">
        <v>8</v>
      </c>
      <c r="AQ83" s="509">
        <v>8</v>
      </c>
      <c r="AR83" s="509">
        <v>8</v>
      </c>
      <c r="AS83" s="509">
        <v>8</v>
      </c>
      <c r="AT83" s="509">
        <v>8</v>
      </c>
      <c r="AU83" s="509">
        <v>8</v>
      </c>
      <c r="AV83" s="509">
        <v>8</v>
      </c>
      <c r="AW83" s="509">
        <v>8</v>
      </c>
      <c r="AX83" s="509">
        <v>8</v>
      </c>
      <c r="AY83" s="509">
        <v>8</v>
      </c>
      <c r="AZ83" s="509">
        <v>8</v>
      </c>
      <c r="BA83" s="509">
        <v>8</v>
      </c>
      <c r="BB83" s="509">
        <v>8</v>
      </c>
      <c r="BC83" s="509">
        <v>8</v>
      </c>
      <c r="BD83" s="509">
        <v>8</v>
      </c>
      <c r="BE83" s="509">
        <v>8</v>
      </c>
      <c r="BF83" s="509">
        <v>8</v>
      </c>
      <c r="BG83" s="509">
        <v>8</v>
      </c>
      <c r="BH83" s="509">
        <v>8</v>
      </c>
      <c r="BI83" s="509">
        <v>8</v>
      </c>
      <c r="BJ83" s="509">
        <v>8</v>
      </c>
      <c r="BK83" s="509">
        <v>8</v>
      </c>
      <c r="BL83" s="509">
        <v>8</v>
      </c>
      <c r="BM83" s="509">
        <v>8</v>
      </c>
      <c r="BN83" s="509">
        <v>8</v>
      </c>
      <c r="BO83" s="509">
        <v>8</v>
      </c>
      <c r="BP83" s="509">
        <v>8</v>
      </c>
      <c r="BQ83" s="509">
        <v>8</v>
      </c>
      <c r="BR83" s="509">
        <v>8</v>
      </c>
      <c r="BS83" s="509">
        <v>8</v>
      </c>
      <c r="BT83" s="509">
        <v>8</v>
      </c>
      <c r="BU83" s="509">
        <v>8</v>
      </c>
      <c r="BV83" s="509">
        <v>8</v>
      </c>
      <c r="BW83" s="509">
        <v>8</v>
      </c>
      <c r="BX83" s="509">
        <v>8</v>
      </c>
      <c r="BY83" s="509">
        <v>8</v>
      </c>
      <c r="BZ83" s="509">
        <v>8</v>
      </c>
      <c r="CA83" s="509">
        <v>8</v>
      </c>
      <c r="CB83" s="509">
        <v>8</v>
      </c>
      <c r="CC83" s="509">
        <v>8</v>
      </c>
      <c r="CD83" s="509">
        <v>8</v>
      </c>
      <c r="CE83" s="509">
        <v>8</v>
      </c>
      <c r="CF83" s="509">
        <v>11</v>
      </c>
    </row>
  </sheetData>
  <sheetProtection formatColumns="0" formatRows="0" autoFilter="0" sort="0" insertRows="0" insertColumns="1" deleteRows="0" deleteColumns="0"/>
  <mergeCells count="100">
    <mergeCell ref="E5:K5"/>
    <mergeCell ref="E6:K6"/>
    <mergeCell ref="E9:R9"/>
    <mergeCell ref="S9:S10"/>
    <mergeCell ref="E10:F10"/>
    <mergeCell ref="H10:I10"/>
    <mergeCell ref="L10:M10"/>
    <mergeCell ref="D14:D22"/>
    <mergeCell ref="H14:R14"/>
    <mergeCell ref="H15:R15"/>
    <mergeCell ref="H16:R16"/>
    <mergeCell ref="E81:R8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C1B908-926E-2DFF-AFB8-8181F02CFD76}" mc:Ignorable="x14ac xr xr2 xr3">
  <sheetPr>
    <tabColor theme="9" tint="-0.25"/>
  </sheetPr>
  <dimension ref="A1:AQ204"/>
  <sheetViews>
    <sheetView showGridLines="0" zoomScale="90" workbookViewId="0">
      <pane xSplit="12" ySplit="14" topLeftCell="S15" activePane="bottomRight" state="frozen"/>
      <selection pane="bottomLeft" activeCell="A15" sqref="A15"/>
      <selection pane="topRight" activeCell="M1" sqref="M1"/>
      <selection pane="bottomRight" activeCell="V9" sqref="V9"/>
    </sheetView>
  </sheetViews>
  <sheetFormatPr defaultColWidth="9.140625" customHeight="1" defaultRowHeight="11.25"/>
  <cols>
    <col min="1" max="5" style="991" width="10.7109375" hidden="1" customWidth="1"/>
    <col min="6" max="6" style="1370" width="16.8515625" hidden="1" customWidth="1"/>
    <col min="7" max="7" style="1646" width="5.57421875" hidden="1" customWidth="1"/>
    <col min="8" max="8" style="1639" width="3.00390625" customWidth="1"/>
    <col min="9" max="9" style="1639" width="7.00390625" customWidth="1"/>
    <col min="10" max="10" style="1639" width="56.00390625" customWidth="1"/>
    <col min="11" max="11" style="1639" width="10.00390625" customWidth="1"/>
    <col min="12" max="12" style="1639" width="40.57421875" hidden="1" customWidth="1"/>
    <col min="13" max="13" style="1639" width="40.7109375" customWidth="1"/>
    <col min="14" max="19" style="1639" width="40.57421875" customWidth="1"/>
    <col min="20" max="20" style="1370" width="9.7109375" hidden="1" customWidth="1"/>
    <col min="21" max="21" style="1639" width="102.00390625" customWidth="1"/>
    <col min="22" max="22" style="1370" width="9.00390625" customWidth="1"/>
    <col min="23" max="23" style="1646" width="5.00390625" customWidth="1"/>
    <col min="24" max="24" style="1646" width="3.00390625" customWidth="1"/>
    <col min="25" max="28" style="1370" width="3.00390625" customWidth="1"/>
    <col min="29" max="29" style="1646" width="10.00390625" customWidth="1"/>
    <col min="30" max="30" style="1370" width="34.00390625" customWidth="1"/>
    <col min="31" max="31" style="1370" width="9.00390625" customWidth="1"/>
    <col min="32" max="32" style="740" width="8.00390625" customWidth="1"/>
    <col min="33" max="37" style="1370" width="8.00390625" customWidth="1"/>
    <col min="38" max="42" style="1636" width="8.00390625" customWidth="1"/>
    <col min="43" max="43" style="1639" width="5.421875" hidden="1" customWidth="1"/>
  </cols>
  <sheetData>
    <row s="1370" customFormat="1" customHeight="1" ht="33.75" hidden="1">
      <c r="A1" s="991"/>
      <c r="B1" s="991"/>
      <c r="C1" s="991"/>
      <c r="D1" s="991"/>
      <c r="E1" s="991"/>
      <c r="G1" s="1640"/>
      <c r="H1" s="882"/>
      <c r="L1" s="1370">
        <v>4</v>
      </c>
      <c r="M1" s="1370">
        <v>4</v>
      </c>
      <c r="N1" s="1370" t="s">
        <v>90</v>
      </c>
      <c r="O1" s="1370" t="s">
        <v>90</v>
      </c>
      <c r="P1" s="1370">
        <v>4</v>
      </c>
      <c r="Q1" s="1370">
        <v>4</v>
      </c>
      <c r="R1" s="1370">
        <v>4</v>
      </c>
      <c r="S1" s="1370">
        <v>4</v>
      </c>
      <c r="W1" s="1640"/>
      <c r="X1" s="1640"/>
      <c r="AC1" s="1640"/>
      <c r="AQ1" s="1370" t="s">
        <v>14</v>
      </c>
    </row>
    <row s="1370" customFormat="1" customHeight="1" ht="78.75" hidden="1">
      <c r="A2" s="991"/>
      <c r="B2" s="2057" t="s">
        <v>876</v>
      </c>
      <c r="C2" s="2057" t="s">
        <v>877</v>
      </c>
      <c r="D2" s="2056" t="s">
        <v>878</v>
      </c>
      <c r="E2" s="2060">
        <f>RIGHT(I2,LEN(I2)-SEARCH("#",SUBSTITUTE(I2,".","#",LEN(I2)-LEN(SUBSTITUTE(I2,".","")))))</f>
      </c>
      <c r="F2" s="2062">
        <f>J2</f>
        <v>0</v>
      </c>
      <c r="G2" s="1640"/>
      <c r="H2" s="2063"/>
      <c r="I2" s="2053"/>
      <c r="J2" s="544"/>
      <c r="K2" s="2023" t="s">
        <v>574</v>
      </c>
      <c r="L2" s="755"/>
      <c r="M2" s="755"/>
      <c r="N2" s="755"/>
      <c r="O2" s="755"/>
      <c r="P2" s="755"/>
      <c r="Q2" s="755"/>
      <c r="R2" s="755"/>
      <c r="S2" s="755"/>
      <c r="T2" s="547"/>
      <c r="U2" s="1529" t="s">
        <v>575</v>
      </c>
      <c r="V2" s="547"/>
      <c r="W2" s="1640"/>
      <c r="X2" s="1640"/>
      <c r="AC2" s="1640"/>
      <c r="AF2" s="548"/>
      <c r="AL2" s="1636"/>
      <c r="AM2" s="1636"/>
      <c r="AN2" s="1636"/>
      <c r="AO2" s="1636"/>
      <c r="AP2" s="1636"/>
      <c r="AQ2" s="1370">
        <v>0</v>
      </c>
    </row>
    <row customHeight="1" ht="11.25" hidden="1">
      <c r="E3" s="2055" t="s">
        <v>879</v>
      </c>
      <c r="L3" s="1635">
        <f>0</f>
        <v>0</v>
      </c>
      <c r="M3" s="1635">
        <v>1</v>
      </c>
      <c r="N3" s="1639">
        <f>0</f>
        <v>0</v>
      </c>
      <c r="O3" s="1639">
        <f>0</f>
        <v>0</v>
      </c>
      <c r="P3" s="1639">
        <f>0</f>
        <v>0</v>
      </c>
      <c r="Q3" s="1639">
        <f>0</f>
        <v>0</v>
      </c>
      <c r="R3" s="1639">
        <f>0</f>
        <v>0</v>
      </c>
      <c r="S3" s="1639">
        <f>0</f>
        <v>0</v>
      </c>
      <c r="AQ3" s="1635">
        <v>0</v>
      </c>
    </row>
    <row s="1636" customFormat="1" customHeight="1" ht="11.25" hidden="1">
      <c r="A4" s="991"/>
      <c r="B4" s="991"/>
      <c r="C4" s="991"/>
      <c r="E4" s="991"/>
      <c r="F4" s="1370"/>
      <c r="G4" s="1640"/>
      <c r="H4" s="624"/>
      <c r="N4" s="1636"/>
      <c r="O4" s="1636"/>
      <c r="P4" s="1636"/>
      <c r="Q4" s="1636"/>
      <c r="R4" s="1636"/>
      <c r="S4" s="1636"/>
      <c r="T4" s="1370"/>
      <c r="U4" s="1636">
        <v>4</v>
      </c>
      <c r="V4" s="1370"/>
      <c r="W4" s="1640"/>
      <c r="X4" s="1640"/>
      <c r="Y4" s="1370"/>
      <c r="Z4" s="1370"/>
      <c r="AA4" s="1370"/>
      <c r="AB4" s="1370"/>
      <c r="AC4" s="1640"/>
      <c r="AD4" s="1370"/>
      <c r="AE4" s="1370"/>
      <c r="AF4" s="548"/>
      <c r="AG4" s="1370"/>
      <c r="AH4" s="1370"/>
      <c r="AI4" s="1370"/>
      <c r="AJ4" s="1370"/>
      <c r="AK4" s="1370"/>
      <c r="AQ4" s="1636">
        <v>0</v>
      </c>
    </row>
    <row customHeight="1" ht="11.549999999999999">
      <c r="N5" s="1639"/>
      <c r="O5" s="1639"/>
      <c r="P5" s="1639"/>
      <c r="Q5" s="1639"/>
      <c r="R5" s="1639"/>
      <c r="S5" s="1639"/>
      <c r="AQ5" s="1635">
        <v>11</v>
      </c>
    </row>
    <row customHeight="1" ht="57.75">
      <c r="I6" s="2311" t="s">
        <v>880</v>
      </c>
      <c r="J6" s="2311"/>
      <c r="K6" s="2311"/>
      <c r="L6" s="2311"/>
      <c r="M6" s="2311"/>
      <c r="N6" s="2311"/>
      <c r="O6" s="2311"/>
      <c r="P6" s="2311"/>
      <c r="Q6" s="2311"/>
      <c r="R6" s="2311"/>
      <c r="S6" s="2311"/>
      <c r="U6" s="560"/>
      <c r="AQ6" s="1635">
        <v>55</v>
      </c>
    </row>
    <row customHeight="1" ht="25.2">
      <c r="I7" s="2253" t="str">
        <f>IF(org=0,"Не определено",org)</f>
        <v>АО "Теплоэнерго"</v>
      </c>
      <c r="J7" s="2253"/>
      <c r="K7" s="2253"/>
      <c r="L7" s="2253"/>
      <c r="M7" s="2253"/>
      <c r="N7" s="2253"/>
      <c r="O7" s="2253"/>
      <c r="P7" s="2253"/>
      <c r="Q7" s="2253"/>
      <c r="R7" s="2253"/>
      <c r="S7" s="2253"/>
      <c r="AQ7" s="1635">
        <v>24</v>
      </c>
    </row>
    <row customHeight="1" ht="11.549999999999999">
      <c r="I8" s="1139"/>
      <c r="J8" s="1139"/>
      <c r="K8" s="1139"/>
      <c r="L8" s="1139"/>
      <c r="M8" s="1139"/>
      <c r="N8" s="1140" t="s">
        <v>22</v>
      </c>
      <c r="O8" s="1140" t="s">
        <v>22</v>
      </c>
      <c r="P8" s="1140" t="s">
        <v>22</v>
      </c>
      <c r="Q8" s="1140" t="s">
        <v>22</v>
      </c>
      <c r="R8" s="1140" t="s">
        <v>22</v>
      </c>
      <c r="S8" s="1140" t="s">
        <v>22</v>
      </c>
      <c r="AQ8" s="1635">
        <v>11</v>
      </c>
    </row>
    <row s="1646" customFormat="1" customHeight="1" ht="30" hidden="1">
      <c r="A9" s="1171"/>
      <c r="B9" s="1171"/>
      <c r="C9" s="1171"/>
      <c r="E9" s="1171"/>
      <c r="H9" s="1646"/>
      <c r="L9" s="893"/>
      <c r="M9" s="893" t="s">
        <v>126</v>
      </c>
      <c r="N9" s="893" t="s">
        <v>130</v>
      </c>
      <c r="O9" s="893" t="s">
        <v>132</v>
      </c>
      <c r="P9" s="893" t="s">
        <v>134</v>
      </c>
      <c r="Q9" s="893" t="s">
        <v>137</v>
      </c>
      <c r="R9" s="893" t="s">
        <v>136</v>
      </c>
      <c r="S9" s="893" t="s">
        <v>139</v>
      </c>
      <c r="AQ9" s="1640">
        <v>1</v>
      </c>
    </row>
    <row customHeight="1" ht="11.549999999999999">
      <c r="E10" s="2054" t="s">
        <v>881</v>
      </c>
      <c r="I10" s="715"/>
      <c r="J10" s="2371" t="s">
        <v>115</v>
      </c>
      <c r="K10" s="2372"/>
      <c r="L10" s="2033" t="str">
        <f>IF(L9="","",INDEX(DIFFERENTIATION_UNMERGE_VD,MATCH(L9,DIFFERENTIATION_ID_DIFF,0)))</f>
        <v/>
      </c>
      <c r="M10" s="2033"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N10" s="2397" t="str">
        <f>IF(N9="","",INDEX(DIFFERENTIATION_UNMERGE_VD,MATCH(N9,DIFFERENTIATION_ID_DIFF,0)))</f>
        <v>Производство тепловой энергии. Некомбинированная выработка; Передача. Тепловая энергия; Сбыт. Тепловая энергия</v>
      </c>
      <c r="O10" s="2397" t="str">
        <f>IF(O9="","",INDEX(DIFFERENTIATION_UNMERGE_VD,MATCH(O9,DIFFERENTIATION_ID_DIFF,0)))</f>
        <v>Производство тепловой энергии. Некомбинированная выработка; Передача. Тепловая энергия</v>
      </c>
      <c r="P10" s="2397" t="str">
        <f>IF(P9="","",INDEX(DIFFERENTIATION_UNMERGE_VD,MATCH(P9,DIFFERENTIATION_ID_DIFF,0)))</f>
        <v>Производство. Теплоноситель</v>
      </c>
      <c r="Q10" s="2397" t="str">
        <f>IF(Q9="","",INDEX(DIFFERENTIATION_UNMERGE_VD,MATCH(Q9,DIFFERENTIATION_ID_DIFF,0)))</f>
        <v>Подключение (технологическое присоединение) к системе теплоснабжения</v>
      </c>
      <c r="R10" s="2397" t="str">
        <f>IF(R9="","",INDEX(DIFFERENTIATION_UNMERGE_VD,MATCH(R9,DIFFERENTIATION_ID_DIFF,0)))</f>
        <v>Производство. Теплоноситель</v>
      </c>
      <c r="S10" s="2397" t="str">
        <f>IF(S9="","",INDEX(DIFFERENTIATION_UNMERGE_VD,MATCH(S9,DIFFERENTIATION_ID_DIFF,0)))</f>
        <v>Поддержание резервной тепловой мощности при отсутствии потребления тепловой энергии</v>
      </c>
      <c r="U10" s="2131" t="s">
        <v>319</v>
      </c>
      <c r="AQ10" s="1635">
        <v>11</v>
      </c>
    </row>
    <row customHeight="1" ht="11.549999999999999">
      <c r="E11" s="2054" t="s">
        <v>882</v>
      </c>
      <c r="I11" s="715"/>
      <c r="J11" s="2371" t="s">
        <v>582</v>
      </c>
      <c r="K11" s="2372"/>
      <c r="L11" s="2033" t="str">
        <f>IF(L9="","",INDEX(DIFFERENTIATION_UNMERGE_AREA,MATCH(L9,DIFFERENTIATION_ID_DIFF,0)))</f>
        <v/>
      </c>
      <c r="M11" s="2033" t="str">
        <f>IF(M9="","",INDEX(DIFFERENTIATION_UNMERGE_AREA,MATCH(M9,DIFFERENTIATION_ID_DIFF,0)))</f>
        <v>Территория 1</v>
      </c>
      <c r="N11" s="2397" t="str">
        <f>IF(N9="","",INDEX(DIFFERENTIATION_UNMERGE_AREA,MATCH(N9,DIFFERENTIATION_ID_DIFF,0)))</f>
        <v>Территория 3</v>
      </c>
      <c r="O11" s="2397" t="str">
        <f>IF(O9="","",INDEX(DIFFERENTIATION_UNMERGE_AREA,MATCH(O9,DIFFERENTIATION_ID_DIFF,0)))</f>
        <v>Территория 2</v>
      </c>
      <c r="P11" s="2397" t="str">
        <f>IF(P9="","",INDEX(DIFFERENTIATION_UNMERGE_AREA,MATCH(P9,DIFFERENTIATION_ID_DIFF,0)))</f>
        <v>Территория 1</v>
      </c>
      <c r="Q11" s="2397" t="str">
        <f>IF(Q9="","",INDEX(DIFFERENTIATION_UNMERGE_AREA,MATCH(Q9,DIFFERENTIATION_ID_DIFF,0)))</f>
        <v>Территория 1</v>
      </c>
      <c r="R11" s="2397" t="str">
        <f>IF(R9="","",INDEX(DIFFERENTIATION_UNMERGE_AREA,MATCH(R9,DIFFERENTIATION_ID_DIFF,0)))</f>
        <v>Территория 2</v>
      </c>
      <c r="S11" s="2397" t="str">
        <f>IF(S9="","",INDEX(DIFFERENTIATION_UNMERGE_AREA,MATCH(S9,DIFFERENTIATION_ID_DIFF,0)))</f>
        <v>Территория 1</v>
      </c>
      <c r="U11" s="2131"/>
      <c r="AQ11" s="1635">
        <v>11</v>
      </c>
    </row>
    <row customHeight="1" ht="11.549999999999999">
      <c r="E12" s="2054" t="s">
        <v>883</v>
      </c>
      <c r="I12" s="1666"/>
      <c r="J12" s="2371" t="s">
        <v>583</v>
      </c>
      <c r="K12" s="2372"/>
      <c r="L12" s="2033" t="str">
        <f>IF(L9="","",INDEX(DIFFERENTIATION_UNMERGE_SYSTEM,MATCH(L9,DIFFERENTIATION_ID_DIFF,0)))</f>
        <v/>
      </c>
      <c r="M12" s="2033" t="str">
        <f>IF(M9="","",INDEX(DIFFERENTIATION_UNMERGE_SYSTEM,MATCH(M9,DIFFERENTIATION_ID_DIFF,0)))</f>
        <v>без дифференциации</v>
      </c>
      <c r="N12" s="2397" t="str">
        <f>IF(N9="","",INDEX(DIFFERENTIATION_UNMERGE_SYSTEM,MATCH(N9,DIFFERENTIATION_ID_DIFF,0)))</f>
        <v>без дифференциации</v>
      </c>
      <c r="O12" s="2397" t="str">
        <f>IF(O9="","",INDEX(DIFFERENTIATION_UNMERGE_SYSTEM,MATCH(O9,DIFFERENTIATION_ID_DIFF,0)))</f>
        <v>без дифференциации</v>
      </c>
      <c r="P12" s="2397" t="str">
        <f>IF(P9="","",INDEX(DIFFERENTIATION_UNMERGE_SYSTEM,MATCH(P9,DIFFERENTIATION_ID_DIFF,0)))</f>
        <v>без дифференциации</v>
      </c>
      <c r="Q12" s="2397" t="str">
        <f>IF(Q9="","",INDEX(DIFFERENTIATION_UNMERGE_SYSTEM,MATCH(Q9,DIFFERENTIATION_ID_DIFF,0)))</f>
        <v>без дифференциации</v>
      </c>
      <c r="R12" s="2397" t="str">
        <f>IF(R9="","",INDEX(DIFFERENTIATION_UNMERGE_SYSTEM,MATCH(R9,DIFFERENTIATION_ID_DIFF,0)))</f>
        <v>без дифференциации</v>
      </c>
      <c r="S12" s="2397" t="str">
        <f>IF(S9="","",INDEX(DIFFERENTIATION_UNMERGE_SYSTEM,MATCH(S9,DIFFERENTIATION_ID_DIFF,0)))</f>
        <v>без дифференциации</v>
      </c>
      <c r="U12" s="2131"/>
      <c r="AQ12" s="1635">
        <v>11</v>
      </c>
    </row>
    <row customHeight="1" ht="11.549999999999999">
      <c r="E13" s="2054" t="s">
        <v>884</v>
      </c>
      <c r="F13" s="2054" t="s">
        <v>885</v>
      </c>
      <c r="I13" s="2373" t="s">
        <v>318</v>
      </c>
      <c r="J13" s="2374"/>
      <c r="K13" s="2374"/>
      <c r="L13" s="2031"/>
      <c r="M13" s="2071"/>
      <c r="N13" s="2371"/>
      <c r="O13" s="2371"/>
      <c r="P13" s="2371"/>
      <c r="Q13" s="2371"/>
      <c r="R13" s="2371"/>
      <c r="S13" s="2371"/>
      <c r="U13" s="2131"/>
      <c r="AQ13" s="1635">
        <v>11</v>
      </c>
    </row>
    <row customHeight="1" ht="24">
      <c r="I14" s="2024" t="s">
        <v>88</v>
      </c>
      <c r="J14" s="2024" t="s">
        <v>320</v>
      </c>
      <c r="K14" s="2024" t="s">
        <v>584</v>
      </c>
      <c r="L14" s="2064" t="s">
        <v>321</v>
      </c>
      <c r="M14" s="2065" t="s">
        <v>321</v>
      </c>
      <c r="N14" s="2266" t="s">
        <v>321</v>
      </c>
      <c r="O14" s="2266" t="s">
        <v>321</v>
      </c>
      <c r="P14" s="2266" t="s">
        <v>321</v>
      </c>
      <c r="Q14" s="2266" t="s">
        <v>321</v>
      </c>
      <c r="R14" s="2266" t="s">
        <v>321</v>
      </c>
      <c r="S14" s="2266" t="s">
        <v>321</v>
      </c>
      <c r="U14" s="2131"/>
      <c r="AQ14" s="1635">
        <v>23</v>
      </c>
    </row>
    <row customHeight="1" ht="24">
      <c r="A15" s="2058"/>
      <c r="B15" s="2057" t="s">
        <v>886</v>
      </c>
      <c r="C15" s="2057" t="s">
        <v>887</v>
      </c>
      <c r="D15" s="2056" t="s">
        <v>888</v>
      </c>
      <c r="E15" s="2060" t="s">
        <v>889</v>
      </c>
      <c r="F15" s="2060" t="s">
        <v>889</v>
      </c>
      <c r="G15" s="1640" t="s">
        <v>728</v>
      </c>
      <c r="H15" s="2025"/>
      <c r="I15" s="1634">
        <v>1</v>
      </c>
      <c r="J15" s="2026" t="s">
        <v>890</v>
      </c>
      <c r="K15" s="2024" t="s">
        <v>324</v>
      </c>
      <c r="L15" s="2682"/>
      <c r="M15" s="2657"/>
      <c r="N15" s="2682"/>
      <c r="O15" s="2682"/>
      <c r="P15" s="2682"/>
      <c r="Q15" s="2682"/>
      <c r="R15" s="2682"/>
      <c r="S15" s="2682"/>
      <c r="T15" s="547" t="s">
        <v>891</v>
      </c>
      <c r="U15" s="1529" t="s">
        <v>892</v>
      </c>
      <c r="V15" s="547" t="s">
        <v>891</v>
      </c>
      <c r="AQ15" s="1635">
        <v>23</v>
      </c>
    </row>
    <row customHeight="1" ht="35.699999999999996">
      <c r="A16" s="2058"/>
      <c r="B16" s="2057" t="s">
        <v>893</v>
      </c>
      <c r="C16" s="2057" t="s">
        <v>894</v>
      </c>
      <c r="D16" s="2056" t="s">
        <v>878</v>
      </c>
      <c r="E16" s="2060" t="s">
        <v>889</v>
      </c>
      <c r="F16" s="2060" t="s">
        <v>889</v>
      </c>
      <c r="H16" s="2025"/>
      <c r="I16" s="1633">
        <v>2</v>
      </c>
      <c r="J16" s="2067" t="s">
        <v>895</v>
      </c>
      <c r="K16" s="2066" t="s">
        <v>574</v>
      </c>
      <c r="L16" s="2072"/>
      <c r="M16" s="1680"/>
      <c r="N16" s="2072"/>
      <c r="O16" s="2072"/>
      <c r="P16" s="2072"/>
      <c r="Q16" s="2072"/>
      <c r="R16" s="2072"/>
      <c r="S16" s="2072"/>
      <c r="T16" s="547" t="s">
        <v>891</v>
      </c>
      <c r="U16" s="1529" t="s">
        <v>896</v>
      </c>
      <c r="V16" s="547" t="s">
        <v>891</v>
      </c>
      <c r="AQ16" s="1635">
        <v>34</v>
      </c>
    </row>
    <row s="1646" customFormat="1" customHeight="1" ht="17.25" hidden="1">
      <c r="A17" s="1171"/>
      <c r="B17" s="1171"/>
      <c r="C17" s="1171"/>
      <c r="D17" s="1171"/>
      <c r="E17" s="1171"/>
      <c r="H17" s="1328"/>
      <c r="I17" s="1017" t="s">
        <v>897</v>
      </c>
      <c r="J17" s="995"/>
      <c r="K17" s="1017"/>
      <c r="L17" s="996"/>
      <c r="M17" s="996"/>
      <c r="N17" s="996"/>
      <c r="O17" s="996"/>
      <c r="P17" s="996"/>
      <c r="Q17" s="996"/>
      <c r="R17" s="996"/>
      <c r="S17" s="996"/>
      <c r="U17" s="1389"/>
      <c r="AQ17" s="1640">
        <v>1</v>
      </c>
    </row>
    <row s="1370" customFormat="1" customHeight="1" ht="24">
      <c r="A18" s="991"/>
      <c r="B18" s="991"/>
      <c r="C18" s="991"/>
      <c r="D18" s="991"/>
      <c r="E18" s="991"/>
      <c r="G18" s="1640"/>
      <c r="H18" s="1637"/>
      <c r="I18" s="574"/>
      <c r="J18" s="575" t="s">
        <v>726</v>
      </c>
      <c r="K18" s="576"/>
      <c r="L18" s="2074"/>
      <c r="M18" s="577"/>
      <c r="N18" s="2683"/>
      <c r="O18" s="2684"/>
      <c r="P18" s="2685"/>
      <c r="Q18" s="2686"/>
      <c r="R18" s="2687"/>
      <c r="S18" s="2688"/>
      <c r="T18" s="547"/>
      <c r="U18" s="1529" t="s">
        <v>727</v>
      </c>
      <c r="V18" s="547"/>
      <c r="W18" s="1640"/>
      <c r="X18" s="1640"/>
      <c r="AC18" s="1640"/>
      <c r="AF18" s="548"/>
      <c r="AL18" s="1636"/>
      <c r="AM18" s="1636"/>
      <c r="AN18" s="1636"/>
      <c r="AO18" s="1636"/>
      <c r="AP18" s="1636"/>
      <c r="AQ18" s="1370">
        <v>23</v>
      </c>
    </row>
    <row customHeight="1" ht="19.95">
      <c r="A19" s="2058"/>
      <c r="B19" s="2057" t="s">
        <v>898</v>
      </c>
      <c r="C19" s="2057" t="s">
        <v>899</v>
      </c>
      <c r="D19" s="2056" t="s">
        <v>878</v>
      </c>
      <c r="E19" s="2060" t="s">
        <v>889</v>
      </c>
      <c r="F19" s="2060" t="s">
        <v>889</v>
      </c>
      <c r="H19" s="2025"/>
      <c r="I19" s="1668">
        <v>3</v>
      </c>
      <c r="J19" s="2026" t="s">
        <v>899</v>
      </c>
      <c r="K19" s="2022" t="s">
        <v>574</v>
      </c>
      <c r="L19" s="731"/>
      <c r="M19" s="561"/>
      <c r="N19" s="731"/>
      <c r="O19" s="731"/>
      <c r="P19" s="731"/>
      <c r="Q19" s="731"/>
      <c r="R19" s="731"/>
      <c r="S19" s="731"/>
      <c r="T19" s="547"/>
      <c r="U19" s="1529" t="s">
        <v>900</v>
      </c>
      <c r="V19" s="547"/>
      <c r="AQ19" s="1635">
        <v>19</v>
      </c>
    </row>
    <row customHeight="1" ht="77.7">
      <c r="A20" s="2058"/>
      <c r="B20" s="2057" t="s">
        <v>901</v>
      </c>
      <c r="C20" s="2057" t="s">
        <v>902</v>
      </c>
      <c r="D20" s="2056" t="s">
        <v>878</v>
      </c>
      <c r="E20" s="2060" t="s">
        <v>889</v>
      </c>
      <c r="F20" s="2060" t="s">
        <v>889</v>
      </c>
      <c r="H20" s="2025"/>
      <c r="I20" s="1668">
        <v>4</v>
      </c>
      <c r="J20" s="2026" t="s">
        <v>903</v>
      </c>
      <c r="K20" s="2022" t="s">
        <v>611</v>
      </c>
      <c r="L20" s="731"/>
      <c r="M20" s="561"/>
      <c r="N20" s="731"/>
      <c r="O20" s="731"/>
      <c r="P20" s="731"/>
      <c r="Q20" s="731"/>
      <c r="R20" s="731"/>
      <c r="S20" s="731"/>
      <c r="T20" s="547"/>
      <c r="U20" s="1529"/>
      <c r="V20" s="547"/>
      <c r="AQ20" s="1635">
        <v>74</v>
      </c>
    </row>
    <row customHeight="1" ht="35.699999999999996">
      <c r="A21" s="2058"/>
      <c r="B21" s="2057" t="s">
        <v>904</v>
      </c>
      <c r="C21" s="2057" t="s">
        <v>905</v>
      </c>
      <c r="D21" s="2056" t="s">
        <v>878</v>
      </c>
      <c r="E21" s="2060" t="s">
        <v>889</v>
      </c>
      <c r="F21" s="2060" t="s">
        <v>889</v>
      </c>
      <c r="H21" s="2025"/>
      <c r="I21" s="1668">
        <v>5</v>
      </c>
      <c r="J21" s="2026" t="s">
        <v>906</v>
      </c>
      <c r="K21" s="2022" t="s">
        <v>611</v>
      </c>
      <c r="L21" s="731"/>
      <c r="M21" s="561"/>
      <c r="N21" s="731"/>
      <c r="O21" s="731"/>
      <c r="P21" s="731"/>
      <c r="Q21" s="731"/>
      <c r="R21" s="731"/>
      <c r="S21" s="731"/>
      <c r="T21" s="547"/>
      <c r="U21" s="1529" t="s">
        <v>900</v>
      </c>
      <c r="V21" s="547"/>
      <c r="AQ21" s="1635">
        <v>34</v>
      </c>
    </row>
    <row customHeight="1" ht="48.29999999999999">
      <c r="A22" s="2058"/>
      <c r="B22" s="2057" t="s">
        <v>907</v>
      </c>
      <c r="C22" s="2057" t="s">
        <v>908</v>
      </c>
      <c r="D22" s="2056" t="s">
        <v>878</v>
      </c>
      <c r="E22" s="2060" t="s">
        <v>889</v>
      </c>
      <c r="F22" s="2060" t="s">
        <v>889</v>
      </c>
      <c r="H22" s="2025"/>
      <c r="I22" s="1668">
        <v>6</v>
      </c>
      <c r="J22" s="2026" t="s">
        <v>909</v>
      </c>
      <c r="K22" s="2022" t="s">
        <v>611</v>
      </c>
      <c r="L22" s="731"/>
      <c r="M22" s="561"/>
      <c r="N22" s="731"/>
      <c r="O22" s="731"/>
      <c r="P22" s="731"/>
      <c r="Q22" s="731"/>
      <c r="R22" s="731"/>
      <c r="S22" s="731"/>
      <c r="T22" s="547"/>
      <c r="U22" s="1529" t="s">
        <v>910</v>
      </c>
      <c r="V22" s="547"/>
      <c r="AQ22" s="1635">
        <v>46</v>
      </c>
    </row>
    <row customHeight="1" ht="19.95">
      <c r="A23" s="2058"/>
      <c r="B23" s="2057" t="s">
        <v>911</v>
      </c>
      <c r="C23" s="2057" t="s">
        <v>912</v>
      </c>
      <c r="D23" s="2056" t="s">
        <v>878</v>
      </c>
      <c r="E23" s="2060" t="s">
        <v>889</v>
      </c>
      <c r="F23" s="2060" t="s">
        <v>889</v>
      </c>
      <c r="H23" s="2025"/>
      <c r="I23" s="1668" t="s">
        <v>913</v>
      </c>
      <c r="J23" s="1528" t="s">
        <v>914</v>
      </c>
      <c r="K23" s="2022" t="s">
        <v>611</v>
      </c>
      <c r="L23" s="731"/>
      <c r="M23" s="561"/>
      <c r="N23" s="731"/>
      <c r="O23" s="731"/>
      <c r="P23" s="731"/>
      <c r="Q23" s="731"/>
      <c r="R23" s="731"/>
      <c r="S23" s="731"/>
      <c r="T23" s="547"/>
      <c r="U23" s="1529" t="s">
        <v>900</v>
      </c>
      <c r="V23" s="547"/>
      <c r="AQ23" s="1635">
        <v>19</v>
      </c>
    </row>
    <row customHeight="1" ht="19.95">
      <c r="A24" s="2058"/>
      <c r="B24" s="2057" t="s">
        <v>915</v>
      </c>
      <c r="C24" s="2057" t="s">
        <v>916</v>
      </c>
      <c r="D24" s="2056" t="s">
        <v>878</v>
      </c>
      <c r="E24" s="2060" t="s">
        <v>889</v>
      </c>
      <c r="F24" s="2060" t="s">
        <v>889</v>
      </c>
      <c r="H24" s="2025"/>
      <c r="I24" s="1668" t="s">
        <v>917</v>
      </c>
      <c r="J24" s="1528" t="s">
        <v>918</v>
      </c>
      <c r="K24" s="2022" t="s">
        <v>611</v>
      </c>
      <c r="L24" s="731"/>
      <c r="M24" s="561"/>
      <c r="N24" s="731"/>
      <c r="O24" s="731"/>
      <c r="P24" s="731"/>
      <c r="Q24" s="731"/>
      <c r="R24" s="731"/>
      <c r="S24" s="731"/>
      <c r="T24" s="547"/>
      <c r="U24" s="1529"/>
      <c r="V24" s="547"/>
      <c r="AQ24" s="1635">
        <v>19</v>
      </c>
    </row>
    <row customHeight="1" ht="24">
      <c r="A25" s="2058"/>
      <c r="B25" s="2057" t="s">
        <v>919</v>
      </c>
      <c r="C25" s="2057" t="s">
        <v>920</v>
      </c>
      <c r="D25" s="2056" t="s">
        <v>878</v>
      </c>
      <c r="E25" s="2060" t="s">
        <v>889</v>
      </c>
      <c r="F25" s="2060" t="s">
        <v>889</v>
      </c>
      <c r="H25" s="2025"/>
      <c r="I25" s="1668" t="s">
        <v>921</v>
      </c>
      <c r="J25" s="1528" t="s">
        <v>922</v>
      </c>
      <c r="K25" s="2022" t="s">
        <v>611</v>
      </c>
      <c r="L25" s="731"/>
      <c r="M25" s="561"/>
      <c r="N25" s="731"/>
      <c r="O25" s="731"/>
      <c r="P25" s="731"/>
      <c r="Q25" s="731"/>
      <c r="R25" s="731"/>
      <c r="S25" s="731"/>
      <c r="T25" s="547"/>
      <c r="U25" s="1529"/>
      <c r="V25" s="547"/>
      <c r="AQ25" s="1635">
        <v>23</v>
      </c>
    </row>
    <row customHeight="1" ht="24">
      <c r="A26" s="2058"/>
      <c r="B26" s="2057" t="s">
        <v>923</v>
      </c>
      <c r="C26" s="2057" t="s">
        <v>924</v>
      </c>
      <c r="D26" s="2056" t="s">
        <v>878</v>
      </c>
      <c r="E26" s="2060" t="s">
        <v>889</v>
      </c>
      <c r="F26" s="2060" t="s">
        <v>889</v>
      </c>
      <c r="H26" s="2025"/>
      <c r="I26" s="1668">
        <v>7</v>
      </c>
      <c r="J26" s="2026" t="s">
        <v>924</v>
      </c>
      <c r="K26" s="2022" t="s">
        <v>925</v>
      </c>
      <c r="L26" s="731"/>
      <c r="M26" s="561"/>
      <c r="N26" s="731"/>
      <c r="O26" s="731"/>
      <c r="P26" s="731"/>
      <c r="Q26" s="731"/>
      <c r="R26" s="731"/>
      <c r="S26" s="731"/>
      <c r="T26" s="547"/>
      <c r="U26" s="1529"/>
      <c r="V26" s="547"/>
      <c r="AQ26" s="1635">
        <v>23</v>
      </c>
    </row>
    <row customHeight="1" ht="24">
      <c r="A27" s="2058"/>
      <c r="B27" s="2057" t="s">
        <v>926</v>
      </c>
      <c r="C27" s="2057" t="s">
        <v>927</v>
      </c>
      <c r="D27" s="2056" t="s">
        <v>878</v>
      </c>
      <c r="E27" s="2060" t="s">
        <v>889</v>
      </c>
      <c r="F27" s="2060" t="s">
        <v>889</v>
      </c>
      <c r="H27" s="2025"/>
      <c r="I27" s="1668">
        <v>8</v>
      </c>
      <c r="J27" s="2026" t="s">
        <v>927</v>
      </c>
      <c r="K27" s="2022" t="s">
        <v>729</v>
      </c>
      <c r="L27" s="731"/>
      <c r="M27" s="561"/>
      <c r="N27" s="731"/>
      <c r="O27" s="731"/>
      <c r="P27" s="731"/>
      <c r="Q27" s="731"/>
      <c r="R27" s="731"/>
      <c r="S27" s="731"/>
      <c r="T27" s="547"/>
      <c r="U27" s="1529"/>
      <c r="V27" s="547"/>
      <c r="AQ27" s="1635">
        <v>23</v>
      </c>
    </row>
    <row customHeight="1" ht="35.699999999999996">
      <c r="A28" s="2058"/>
      <c r="B28" s="2057" t="s">
        <v>928</v>
      </c>
      <c r="C28" s="2057" t="s">
        <v>929</v>
      </c>
      <c r="D28" s="2056" t="s">
        <v>878</v>
      </c>
      <c r="E28" s="2060" t="s">
        <v>889</v>
      </c>
      <c r="F28" s="2060" t="s">
        <v>889</v>
      </c>
      <c r="H28" s="2025"/>
      <c r="I28" s="1679">
        <v>9</v>
      </c>
      <c r="J28" s="2026" t="s">
        <v>930</v>
      </c>
      <c r="K28" s="2022" t="s">
        <v>578</v>
      </c>
      <c r="L28" s="731"/>
      <c r="M28" s="561"/>
      <c r="N28" s="731"/>
      <c r="O28" s="731"/>
      <c r="P28" s="731"/>
      <c r="Q28" s="731"/>
      <c r="R28" s="731"/>
      <c r="S28" s="731"/>
      <c r="T28" s="547"/>
      <c r="U28" s="1529"/>
      <c r="V28" s="547"/>
      <c r="AQ28" s="1635">
        <v>34</v>
      </c>
    </row>
    <row customHeight="1" ht="35.699999999999996">
      <c r="A29" s="2058"/>
      <c r="B29" s="2057" t="s">
        <v>931</v>
      </c>
      <c r="C29" s="2057" t="s">
        <v>932</v>
      </c>
      <c r="D29" s="2056" t="s">
        <v>878</v>
      </c>
      <c r="E29" s="2060" t="s">
        <v>889</v>
      </c>
      <c r="F29" s="2060" t="s">
        <v>889</v>
      </c>
      <c r="H29" s="2025"/>
      <c r="I29" s="1679">
        <v>10</v>
      </c>
      <c r="J29" s="2026" t="s">
        <v>933</v>
      </c>
      <c r="K29" s="2022" t="s">
        <v>578</v>
      </c>
      <c r="L29" s="731"/>
      <c r="M29" s="561"/>
      <c r="N29" s="731"/>
      <c r="O29" s="731"/>
      <c r="P29" s="731"/>
      <c r="Q29" s="731"/>
      <c r="R29" s="731"/>
      <c r="S29" s="731"/>
      <c r="T29" s="547"/>
      <c r="U29" s="1529"/>
      <c r="V29" s="547"/>
      <c r="AQ29" s="1635">
        <v>34</v>
      </c>
    </row>
    <row customHeight="1" ht="24">
      <c r="A30" s="2058"/>
      <c r="B30" s="2057" t="s">
        <v>934</v>
      </c>
      <c r="C30" s="2057" t="s">
        <v>935</v>
      </c>
      <c r="D30" s="2056" t="s">
        <v>878</v>
      </c>
      <c r="E30" s="2060" t="s">
        <v>889</v>
      </c>
      <c r="F30" s="2060" t="s">
        <v>889</v>
      </c>
      <c r="H30" s="2025"/>
      <c r="I30" s="1679">
        <v>11</v>
      </c>
      <c r="J30" s="2026" t="s">
        <v>935</v>
      </c>
      <c r="K30" s="2022" t="s">
        <v>730</v>
      </c>
      <c r="L30" s="2073"/>
      <c r="M30" s="1625"/>
      <c r="N30" s="2073"/>
      <c r="O30" s="2073"/>
      <c r="P30" s="2073"/>
      <c r="Q30" s="2073"/>
      <c r="R30" s="2073"/>
      <c r="S30" s="2073"/>
      <c r="T30" s="547"/>
      <c r="U30" s="1529"/>
      <c r="V30" s="547"/>
      <c r="AQ30" s="1635">
        <v>23</v>
      </c>
    </row>
    <row customHeight="1" ht="24">
      <c r="A31" s="2058"/>
      <c r="B31" s="2057" t="s">
        <v>936</v>
      </c>
      <c r="C31" s="2057" t="s">
        <v>937</v>
      </c>
      <c r="D31" s="2056" t="s">
        <v>878</v>
      </c>
      <c r="E31" s="2060" t="s">
        <v>889</v>
      </c>
      <c r="F31" s="2060" t="s">
        <v>889</v>
      </c>
      <c r="H31" s="2025"/>
      <c r="I31" s="1679">
        <v>12</v>
      </c>
      <c r="J31" s="2026" t="s">
        <v>937</v>
      </c>
      <c r="K31" s="2022" t="s">
        <v>730</v>
      </c>
      <c r="L31" s="2073"/>
      <c r="M31" s="1625"/>
      <c r="N31" s="2073"/>
      <c r="O31" s="2073"/>
      <c r="P31" s="2073"/>
      <c r="Q31" s="2073"/>
      <c r="R31" s="2073"/>
      <c r="S31" s="2073"/>
      <c r="T31" s="547"/>
      <c r="U31" s="1529"/>
      <c r="V31" s="547"/>
      <c r="AQ31" s="1635">
        <v>23</v>
      </c>
    </row>
    <row customHeight="1" ht="48.29999999999999">
      <c r="A32" s="2058"/>
      <c r="B32" s="2057" t="s">
        <v>938</v>
      </c>
      <c r="C32" s="2057" t="s">
        <v>939</v>
      </c>
      <c r="D32" s="2056" t="s">
        <v>878</v>
      </c>
      <c r="E32" s="2060" t="s">
        <v>889</v>
      </c>
      <c r="F32" s="2060" t="s">
        <v>889</v>
      </c>
      <c r="H32" s="2025"/>
      <c r="I32" s="1679">
        <v>13</v>
      </c>
      <c r="J32" s="2026" t="s">
        <v>940</v>
      </c>
      <c r="K32" s="2022" t="s">
        <v>852</v>
      </c>
      <c r="L32" s="731"/>
      <c r="M32" s="561"/>
      <c r="N32" s="731"/>
      <c r="O32" s="731"/>
      <c r="P32" s="731"/>
      <c r="Q32" s="731"/>
      <c r="R32" s="731"/>
      <c r="S32" s="731"/>
      <c r="T32" s="547"/>
      <c r="U32" s="1529" t="s">
        <v>900</v>
      </c>
      <c r="V32" s="547"/>
      <c r="AQ32" s="1635">
        <v>46</v>
      </c>
    </row>
    <row s="1370" customFormat="1" customHeight="1" ht="48.29999999999999">
      <c r="A33" s="2058"/>
      <c r="B33" s="2057" t="s">
        <v>941</v>
      </c>
      <c r="C33" s="2057" t="s">
        <v>942</v>
      </c>
      <c r="D33" s="2056" t="s">
        <v>878</v>
      </c>
      <c r="E33" s="2060" t="s">
        <v>889</v>
      </c>
      <c r="F33" s="2060" t="s">
        <v>889</v>
      </c>
      <c r="G33" s="1640"/>
      <c r="H33" s="2025"/>
      <c r="I33" s="1679">
        <v>14</v>
      </c>
      <c r="J33" s="2038" t="s">
        <v>943</v>
      </c>
      <c r="K33" s="2027" t="s">
        <v>944</v>
      </c>
      <c r="L33" s="731"/>
      <c r="M33" s="561"/>
      <c r="N33" s="731"/>
      <c r="O33" s="731"/>
      <c r="P33" s="731"/>
      <c r="Q33" s="731"/>
      <c r="R33" s="731"/>
      <c r="S33" s="731"/>
      <c r="T33" s="547"/>
      <c r="U33" s="1529" t="s">
        <v>900</v>
      </c>
      <c r="V33" s="547"/>
      <c r="W33" s="1640"/>
      <c r="X33" s="1640"/>
      <c r="AC33" s="1640"/>
      <c r="AF33" s="548"/>
      <c r="AL33" s="1636"/>
      <c r="AM33" s="1636"/>
      <c r="AN33" s="1636"/>
      <c r="AO33" s="1636"/>
      <c r="AP33" s="1636"/>
      <c r="AQ33" s="1370">
        <v>46</v>
      </c>
    </row>
    <row customHeight="1" ht="108">
      <c r="A34" s="2058"/>
      <c r="B34" s="2057" t="s">
        <v>945</v>
      </c>
      <c r="C34" s="2057" t="s">
        <v>946</v>
      </c>
      <c r="D34" s="2056" t="s">
        <v>888</v>
      </c>
      <c r="E34" s="2060" t="s">
        <v>889</v>
      </c>
      <c r="F34" s="2060" t="s">
        <v>889</v>
      </c>
      <c r="G34" s="1640" t="s">
        <v>728</v>
      </c>
      <c r="H34" s="2025"/>
      <c r="I34" s="2036">
        <v>15</v>
      </c>
      <c r="J34" s="2037" t="s">
        <v>947</v>
      </c>
      <c r="K34" s="2022" t="s">
        <v>324</v>
      </c>
      <c r="L34" s="389"/>
      <c r="M34" s="1168"/>
      <c r="N34" s="389"/>
      <c r="O34" s="389"/>
      <c r="P34" s="389"/>
      <c r="Q34" s="389"/>
      <c r="R34" s="389"/>
      <c r="S34" s="389"/>
      <c r="T34" s="547"/>
      <c r="U34" s="1529" t="s">
        <v>892</v>
      </c>
      <c r="V34" s="547"/>
      <c r="AQ34" s="1635">
        <v>103</v>
      </c>
    </row>
    <row s="1645" customFormat="1" customHeight="1" ht="11.549999999999999">
      <c r="A35" s="991"/>
      <c r="B35" s="991"/>
      <c r="C35" s="991"/>
      <c r="D35" s="991"/>
      <c r="E35" s="991"/>
      <c r="F35" s="1640"/>
      <c r="G35" s="1640"/>
      <c r="H35" s="355"/>
      <c r="N35" s="1645"/>
      <c r="O35" s="1645"/>
      <c r="P35" s="1645"/>
      <c r="Q35" s="1645"/>
      <c r="R35" s="1645"/>
      <c r="S35" s="1645"/>
      <c r="T35" s="1370"/>
      <c r="V35" s="1370"/>
      <c r="W35" s="1640"/>
      <c r="X35" s="1640"/>
      <c r="Y35" s="1370"/>
      <c r="Z35" s="1370"/>
      <c r="AA35" s="1370"/>
      <c r="AB35" s="1370"/>
      <c r="AC35" s="1640"/>
      <c r="AD35" s="1370"/>
      <c r="AE35" s="1370"/>
      <c r="AF35" s="548"/>
      <c r="AG35" s="1370"/>
      <c r="AH35" s="1370"/>
      <c r="AI35" s="1370"/>
      <c r="AJ35" s="1370"/>
      <c r="AK35" s="1370"/>
      <c r="AL35" s="1636"/>
      <c r="AM35" s="626"/>
      <c r="AN35" s="626"/>
      <c r="AO35" s="626"/>
      <c r="AP35" s="626"/>
      <c r="AQ35" s="1645">
        <v>11</v>
      </c>
    </row>
    <row s="1645" customFormat="1" customHeight="1" ht="11.549999999999999">
      <c r="A36" s="991"/>
      <c r="B36" s="991"/>
      <c r="C36" s="991"/>
      <c r="D36" s="991"/>
      <c r="E36" s="991"/>
      <c r="F36" s="1640"/>
      <c r="G36" s="1640"/>
      <c r="H36" s="355"/>
      <c r="N36" s="1645"/>
      <c r="O36" s="1645"/>
      <c r="P36" s="1645"/>
      <c r="Q36" s="1645"/>
      <c r="R36" s="1645"/>
      <c r="S36" s="1645"/>
      <c r="T36" s="1370"/>
      <c r="V36" s="1370"/>
      <c r="W36" s="1640"/>
      <c r="X36" s="1640"/>
      <c r="Y36" s="1370"/>
      <c r="Z36" s="1370"/>
      <c r="AA36" s="1370"/>
      <c r="AB36" s="1370"/>
      <c r="AC36" s="1640"/>
      <c r="AD36" s="1370"/>
      <c r="AE36" s="1370"/>
      <c r="AF36" s="548"/>
      <c r="AG36" s="1370"/>
      <c r="AH36" s="1370"/>
      <c r="AI36" s="1370"/>
      <c r="AJ36" s="1370"/>
      <c r="AK36" s="1370"/>
      <c r="AL36" s="1636"/>
      <c r="AM36" s="626"/>
      <c r="AN36" s="626"/>
      <c r="AO36" s="626"/>
      <c r="AP36" s="626"/>
      <c r="AQ36" s="1645">
        <v>11</v>
      </c>
    </row>
    <row s="1645" customFormat="1" customHeight="1" ht="11.549999999999999">
      <c r="A37" s="991"/>
      <c r="B37" s="991"/>
      <c r="C37" s="991"/>
      <c r="D37" s="991"/>
      <c r="E37" s="991"/>
      <c r="F37" s="1640"/>
      <c r="G37" s="1640"/>
      <c r="H37" s="355"/>
      <c r="L37" s="626"/>
      <c r="M37" s="626"/>
      <c r="N37" s="626"/>
      <c r="O37" s="626"/>
      <c r="P37" s="626"/>
      <c r="Q37" s="626"/>
      <c r="R37" s="626"/>
      <c r="S37" s="626"/>
      <c r="T37" s="1370"/>
      <c r="V37" s="1370"/>
      <c r="W37" s="1640"/>
      <c r="X37" s="1640"/>
      <c r="Y37" s="1370"/>
      <c r="Z37" s="1370"/>
      <c r="AA37" s="1370"/>
      <c r="AB37" s="1370"/>
      <c r="AC37" s="1640"/>
      <c r="AD37" s="1370"/>
      <c r="AE37" s="1370"/>
      <c r="AF37" s="548"/>
      <c r="AG37" s="1370"/>
      <c r="AH37" s="1370"/>
      <c r="AI37" s="1370"/>
      <c r="AJ37" s="1370"/>
      <c r="AK37" s="1370"/>
      <c r="AL37" s="1636"/>
      <c r="AM37" s="626"/>
      <c r="AN37" s="626"/>
      <c r="AO37" s="626"/>
      <c r="AP37" s="626"/>
      <c r="AQ37" s="1645">
        <v>11</v>
      </c>
    </row>
    <row s="1645" customFormat="1" customHeight="1" ht="11.549999999999999">
      <c r="A38" s="991"/>
      <c r="B38" s="991"/>
      <c r="C38" s="991"/>
      <c r="D38" s="991"/>
      <c r="E38" s="991"/>
      <c r="F38" s="1640"/>
      <c r="G38" s="1640"/>
      <c r="H38" s="355"/>
      <c r="N38" s="1645"/>
      <c r="O38" s="1645"/>
      <c r="P38" s="1645"/>
      <c r="Q38" s="1645"/>
      <c r="R38" s="1645"/>
      <c r="S38" s="1645"/>
      <c r="T38" s="1370"/>
      <c r="V38" s="1370"/>
      <c r="W38" s="1640"/>
      <c r="X38" s="1640"/>
      <c r="Y38" s="1370"/>
      <c r="Z38" s="1370"/>
      <c r="AA38" s="1370"/>
      <c r="AB38" s="1370"/>
      <c r="AC38" s="1640"/>
      <c r="AD38" s="1370"/>
      <c r="AE38" s="1370"/>
      <c r="AF38" s="548"/>
      <c r="AG38" s="1370"/>
      <c r="AH38" s="1370"/>
      <c r="AI38" s="1370"/>
      <c r="AJ38" s="1370"/>
      <c r="AK38" s="1370"/>
      <c r="AL38" s="1636"/>
      <c r="AM38" s="626"/>
      <c r="AN38" s="626"/>
      <c r="AO38" s="626"/>
      <c r="AP38" s="626"/>
      <c r="AQ38" s="1645">
        <v>11</v>
      </c>
    </row>
    <row s="1645" customFormat="1" customHeight="1" ht="11.549999999999999">
      <c r="A39" s="991"/>
      <c r="B39" s="991"/>
      <c r="C39" s="991"/>
      <c r="D39" s="991"/>
      <c r="E39" s="991"/>
      <c r="F39" s="1640"/>
      <c r="G39" s="1640"/>
      <c r="H39" s="355"/>
      <c r="N39" s="1645"/>
      <c r="O39" s="1645"/>
      <c r="P39" s="1645"/>
      <c r="Q39" s="1645"/>
      <c r="R39" s="1645"/>
      <c r="S39" s="1645"/>
      <c r="T39" s="1370"/>
      <c r="V39" s="1370"/>
      <c r="W39" s="1640"/>
      <c r="X39" s="1640"/>
      <c r="Y39" s="1370"/>
      <c r="Z39" s="1370"/>
      <c r="AA39" s="1370"/>
      <c r="AB39" s="1370"/>
      <c r="AC39" s="1640"/>
      <c r="AD39" s="1370"/>
      <c r="AE39" s="1370"/>
      <c r="AF39" s="548"/>
      <c r="AG39" s="1370"/>
      <c r="AH39" s="1370"/>
      <c r="AI39" s="1370"/>
      <c r="AJ39" s="1370"/>
      <c r="AK39" s="1370"/>
      <c r="AL39" s="1636"/>
      <c r="AM39" s="626"/>
      <c r="AN39" s="626"/>
      <c r="AO39" s="626"/>
      <c r="AP39" s="626"/>
      <c r="AQ39" s="1645">
        <v>11</v>
      </c>
    </row>
    <row s="1645" customFormat="1" customHeight="1" ht="11.549999999999999">
      <c r="A40" s="991"/>
      <c r="B40" s="991"/>
      <c r="C40" s="991"/>
      <c r="D40" s="991"/>
      <c r="E40" s="991"/>
      <c r="F40" s="1640"/>
      <c r="G40" s="1640"/>
      <c r="H40" s="355"/>
      <c r="N40" s="1645"/>
      <c r="O40" s="1645"/>
      <c r="P40" s="1645"/>
      <c r="Q40" s="1645"/>
      <c r="R40" s="1645"/>
      <c r="S40" s="1645"/>
      <c r="T40" s="1370"/>
      <c r="V40" s="1370"/>
      <c r="W40" s="1640"/>
      <c r="X40" s="1640"/>
      <c r="Y40" s="1370"/>
      <c r="Z40" s="1370"/>
      <c r="AA40" s="1370"/>
      <c r="AB40" s="1370"/>
      <c r="AC40" s="1640"/>
      <c r="AD40" s="1370"/>
      <c r="AE40" s="1370"/>
      <c r="AF40" s="548"/>
      <c r="AG40" s="1370"/>
      <c r="AH40" s="1370"/>
      <c r="AI40" s="1370"/>
      <c r="AJ40" s="1370"/>
      <c r="AK40" s="1370"/>
      <c r="AL40" s="1636"/>
      <c r="AM40" s="626"/>
      <c r="AN40" s="626"/>
      <c r="AO40" s="626"/>
      <c r="AP40" s="626"/>
      <c r="AQ40" s="1645">
        <v>11</v>
      </c>
    </row>
    <row s="1645" customFormat="1" customHeight="1" ht="11.549999999999999">
      <c r="A41" s="991"/>
      <c r="B41" s="991"/>
      <c r="C41" s="991"/>
      <c r="D41" s="991"/>
      <c r="E41" s="991"/>
      <c r="F41" s="1640"/>
      <c r="G41" s="1640"/>
      <c r="H41" s="355"/>
      <c r="N41" s="1645"/>
      <c r="O41" s="1645"/>
      <c r="P41" s="1645"/>
      <c r="Q41" s="1645"/>
      <c r="R41" s="1645"/>
      <c r="S41" s="1645"/>
      <c r="T41" s="1370"/>
      <c r="V41" s="1370"/>
      <c r="W41" s="1640"/>
      <c r="X41" s="1640"/>
      <c r="Y41" s="1370"/>
      <c r="Z41" s="1370"/>
      <c r="AA41" s="1370"/>
      <c r="AB41" s="1370"/>
      <c r="AC41" s="1640"/>
      <c r="AD41" s="1370"/>
      <c r="AE41" s="1370"/>
      <c r="AF41" s="548"/>
      <c r="AG41" s="1370"/>
      <c r="AH41" s="1370"/>
      <c r="AI41" s="1370"/>
      <c r="AJ41" s="1370"/>
      <c r="AK41" s="1370"/>
      <c r="AL41" s="1636"/>
      <c r="AM41" s="626"/>
      <c r="AN41" s="626"/>
      <c r="AO41" s="626"/>
      <c r="AP41" s="626"/>
      <c r="AQ41" s="1645">
        <v>11</v>
      </c>
    </row>
    <row s="1645" customFormat="1" customHeight="1" ht="11.549999999999999">
      <c r="A42" s="991"/>
      <c r="B42" s="991"/>
      <c r="C42" s="991"/>
      <c r="D42" s="991"/>
      <c r="E42" s="991"/>
      <c r="F42" s="1640"/>
      <c r="G42" s="1640"/>
      <c r="H42" s="355"/>
      <c r="N42" s="1645"/>
      <c r="O42" s="1645"/>
      <c r="P42" s="1645"/>
      <c r="Q42" s="1645"/>
      <c r="R42" s="1645"/>
      <c r="S42" s="1645"/>
      <c r="T42" s="1370"/>
      <c r="V42" s="1370"/>
      <c r="W42" s="1640"/>
      <c r="X42" s="1640"/>
      <c r="Y42" s="1370"/>
      <c r="Z42" s="1370"/>
      <c r="AA42" s="1370"/>
      <c r="AB42" s="1370"/>
      <c r="AC42" s="1640"/>
      <c r="AD42" s="1370"/>
      <c r="AE42" s="1370"/>
      <c r="AF42" s="548"/>
      <c r="AG42" s="1370"/>
      <c r="AH42" s="1370"/>
      <c r="AI42" s="1370"/>
      <c r="AJ42" s="1370"/>
      <c r="AK42" s="1370"/>
      <c r="AL42" s="1636"/>
      <c r="AM42" s="626"/>
      <c r="AN42" s="626"/>
      <c r="AO42" s="626"/>
      <c r="AP42" s="626"/>
      <c r="AQ42" s="1645">
        <v>11</v>
      </c>
    </row>
    <row s="1645" customFormat="1" customHeight="1" ht="11.549999999999999">
      <c r="A43" s="991"/>
      <c r="B43" s="991"/>
      <c r="C43" s="991"/>
      <c r="D43" s="991"/>
      <c r="E43" s="991"/>
      <c r="F43" s="1640"/>
      <c r="G43" s="1640"/>
      <c r="H43" s="355"/>
      <c r="N43" s="1645"/>
      <c r="O43" s="1645"/>
      <c r="P43" s="1645"/>
      <c r="Q43" s="1645"/>
      <c r="R43" s="1645"/>
      <c r="S43" s="1645"/>
      <c r="T43" s="1370"/>
      <c r="V43" s="1370"/>
      <c r="W43" s="1640"/>
      <c r="X43" s="1640"/>
      <c r="Y43" s="1370"/>
      <c r="Z43" s="1370"/>
      <c r="AA43" s="1370"/>
      <c r="AB43" s="1370"/>
      <c r="AC43" s="1640"/>
      <c r="AD43" s="1370"/>
      <c r="AE43" s="1370"/>
      <c r="AF43" s="548"/>
      <c r="AG43" s="1370"/>
      <c r="AH43" s="1370"/>
      <c r="AI43" s="1370"/>
      <c r="AJ43" s="1370"/>
      <c r="AK43" s="1370"/>
      <c r="AL43" s="1636"/>
      <c r="AM43" s="626"/>
      <c r="AN43" s="626"/>
      <c r="AO43" s="626"/>
      <c r="AP43" s="626"/>
      <c r="AQ43" s="1645">
        <v>11</v>
      </c>
    </row>
    <row s="1645" customFormat="1" customHeight="1" ht="11.549999999999999">
      <c r="A44" s="991"/>
      <c r="B44" s="991"/>
      <c r="C44" s="991"/>
      <c r="D44" s="991"/>
      <c r="E44" s="991"/>
      <c r="F44" s="1640"/>
      <c r="G44" s="1640"/>
      <c r="H44" s="355"/>
      <c r="N44" s="1645"/>
      <c r="O44" s="1645"/>
      <c r="P44" s="1645"/>
      <c r="Q44" s="1645"/>
      <c r="R44" s="1645"/>
      <c r="S44" s="1645"/>
      <c r="T44" s="1370"/>
      <c r="V44" s="1370"/>
      <c r="W44" s="1640"/>
      <c r="X44" s="1640"/>
      <c r="Y44" s="1370"/>
      <c r="Z44" s="1370"/>
      <c r="AA44" s="1370"/>
      <c r="AB44" s="1370"/>
      <c r="AC44" s="1640"/>
      <c r="AD44" s="1370"/>
      <c r="AE44" s="1370"/>
      <c r="AF44" s="548"/>
      <c r="AG44" s="1370"/>
      <c r="AH44" s="1370"/>
      <c r="AI44" s="1370"/>
      <c r="AJ44" s="1370"/>
      <c r="AK44" s="1370"/>
      <c r="AL44" s="1636"/>
      <c r="AM44" s="626"/>
      <c r="AN44" s="626"/>
      <c r="AO44" s="626"/>
      <c r="AP44" s="626"/>
      <c r="AQ44" s="1645">
        <v>11</v>
      </c>
    </row>
    <row s="1645" customFormat="1" customHeight="1" ht="11.549999999999999">
      <c r="A45" s="991"/>
      <c r="B45" s="991"/>
      <c r="C45" s="991"/>
      <c r="D45" s="991"/>
      <c r="E45" s="991"/>
      <c r="F45" s="1640"/>
      <c r="G45" s="1640"/>
      <c r="H45" s="355"/>
      <c r="N45" s="1645"/>
      <c r="O45" s="1645"/>
      <c r="P45" s="1645"/>
      <c r="Q45" s="1645"/>
      <c r="R45" s="1645"/>
      <c r="S45" s="1645"/>
      <c r="T45" s="1370"/>
      <c r="V45" s="1370"/>
      <c r="W45" s="1640"/>
      <c r="X45" s="1640"/>
      <c r="Y45" s="1370"/>
      <c r="Z45" s="1370"/>
      <c r="AA45" s="1370"/>
      <c r="AB45" s="1370"/>
      <c r="AC45" s="1640"/>
      <c r="AD45" s="1370"/>
      <c r="AE45" s="1370"/>
      <c r="AF45" s="548"/>
      <c r="AG45" s="1370"/>
      <c r="AH45" s="1370"/>
      <c r="AI45" s="1370"/>
      <c r="AJ45" s="1370"/>
      <c r="AK45" s="1370"/>
      <c r="AL45" s="1636"/>
      <c r="AM45" s="626"/>
      <c r="AN45" s="626"/>
      <c r="AO45" s="626"/>
      <c r="AP45" s="626"/>
      <c r="AQ45" s="1645">
        <v>11</v>
      </c>
    </row>
    <row s="1645" customFormat="1" customHeight="1" ht="11.549999999999999">
      <c r="A46" s="991"/>
      <c r="B46" s="991"/>
      <c r="C46" s="991"/>
      <c r="D46" s="991"/>
      <c r="E46" s="991"/>
      <c r="F46" s="1640"/>
      <c r="G46" s="1640"/>
      <c r="H46" s="355"/>
      <c r="N46" s="1645"/>
      <c r="O46" s="1645"/>
      <c r="P46" s="1645"/>
      <c r="Q46" s="1645"/>
      <c r="R46" s="1645"/>
      <c r="S46" s="1645"/>
      <c r="T46" s="1370"/>
      <c r="V46" s="1370"/>
      <c r="W46" s="1640"/>
      <c r="X46" s="1640"/>
      <c r="Y46" s="1370"/>
      <c r="Z46" s="1370"/>
      <c r="AA46" s="1370"/>
      <c r="AB46" s="1370"/>
      <c r="AC46" s="1640"/>
      <c r="AD46" s="1370"/>
      <c r="AE46" s="1370"/>
      <c r="AF46" s="548"/>
      <c r="AG46" s="1370"/>
      <c r="AH46" s="1370"/>
      <c r="AI46" s="1370"/>
      <c r="AJ46" s="1370"/>
      <c r="AK46" s="1370"/>
      <c r="AL46" s="1636"/>
      <c r="AM46" s="626"/>
      <c r="AN46" s="626"/>
      <c r="AO46" s="626"/>
      <c r="AP46" s="626"/>
      <c r="AQ46" s="1645">
        <v>11</v>
      </c>
    </row>
    <row s="1645" customFormat="1" customHeight="1" ht="11.549999999999999">
      <c r="A47" s="991"/>
      <c r="B47" s="991"/>
      <c r="C47" s="991"/>
      <c r="D47" s="991"/>
      <c r="E47" s="991"/>
      <c r="F47" s="1640"/>
      <c r="G47" s="1640"/>
      <c r="H47" s="355"/>
      <c r="N47" s="1645"/>
      <c r="O47" s="1645"/>
      <c r="P47" s="1645"/>
      <c r="Q47" s="1645"/>
      <c r="R47" s="1645"/>
      <c r="S47" s="1645"/>
      <c r="T47" s="1370"/>
      <c r="V47" s="1370"/>
      <c r="W47" s="1640"/>
      <c r="X47" s="1640"/>
      <c r="Y47" s="1370"/>
      <c r="Z47" s="1370"/>
      <c r="AA47" s="1370"/>
      <c r="AB47" s="1370"/>
      <c r="AC47" s="1640"/>
      <c r="AD47" s="1370"/>
      <c r="AE47" s="1370"/>
      <c r="AF47" s="548"/>
      <c r="AG47" s="1370"/>
      <c r="AH47" s="1370"/>
      <c r="AI47" s="1370"/>
      <c r="AJ47" s="1370"/>
      <c r="AK47" s="1370"/>
      <c r="AL47" s="1636"/>
      <c r="AM47" s="626"/>
      <c r="AN47" s="626"/>
      <c r="AO47" s="626"/>
      <c r="AP47" s="626"/>
      <c r="AQ47" s="1645">
        <v>11</v>
      </c>
    </row>
    <row s="1645" customFormat="1" customHeight="1" ht="11.549999999999999">
      <c r="A48" s="991"/>
      <c r="B48" s="991"/>
      <c r="C48" s="991"/>
      <c r="D48" s="991"/>
      <c r="E48" s="991"/>
      <c r="F48" s="1640"/>
      <c r="G48" s="1640"/>
      <c r="H48" s="355"/>
      <c r="N48" s="1645"/>
      <c r="O48" s="1645"/>
      <c r="P48" s="1645"/>
      <c r="Q48" s="1645"/>
      <c r="R48" s="1645"/>
      <c r="S48" s="1645"/>
      <c r="T48" s="1370"/>
      <c r="V48" s="1370"/>
      <c r="W48" s="1640"/>
      <c r="X48" s="1640"/>
      <c r="Y48" s="1370"/>
      <c r="Z48" s="1370"/>
      <c r="AA48" s="1370"/>
      <c r="AB48" s="1370"/>
      <c r="AC48" s="1640"/>
      <c r="AD48" s="1370"/>
      <c r="AE48" s="1370"/>
      <c r="AF48" s="548"/>
      <c r="AG48" s="1370"/>
      <c r="AH48" s="1370"/>
      <c r="AI48" s="1370"/>
      <c r="AJ48" s="1370"/>
      <c r="AK48" s="1370"/>
      <c r="AL48" s="1636"/>
      <c r="AM48" s="626"/>
      <c r="AN48" s="626"/>
      <c r="AO48" s="626"/>
      <c r="AP48" s="626"/>
      <c r="AQ48" s="1645">
        <v>11</v>
      </c>
    </row>
    <row s="1645" customFormat="1" customHeight="1" ht="11.549999999999999">
      <c r="A49" s="991"/>
      <c r="B49" s="991"/>
      <c r="C49" s="991"/>
      <c r="D49" s="991"/>
      <c r="E49" s="991"/>
      <c r="F49" s="1640"/>
      <c r="G49" s="1640"/>
      <c r="H49" s="355"/>
      <c r="N49" s="1645"/>
      <c r="O49" s="1645"/>
      <c r="P49" s="1645"/>
      <c r="Q49" s="1645"/>
      <c r="R49" s="1645"/>
      <c r="S49" s="1645"/>
      <c r="T49" s="1370"/>
      <c r="V49" s="1370"/>
      <c r="W49" s="1640"/>
      <c r="X49" s="1640"/>
      <c r="Y49" s="1370"/>
      <c r="Z49" s="1370"/>
      <c r="AA49" s="1370"/>
      <c r="AB49" s="1370"/>
      <c r="AC49" s="1640"/>
      <c r="AD49" s="1370"/>
      <c r="AE49" s="1370"/>
      <c r="AF49" s="548"/>
      <c r="AG49" s="1370"/>
      <c r="AH49" s="1370"/>
      <c r="AI49" s="1370"/>
      <c r="AJ49" s="1370"/>
      <c r="AK49" s="1370"/>
      <c r="AL49" s="1636"/>
      <c r="AM49" s="626"/>
      <c r="AN49" s="626"/>
      <c r="AO49" s="626"/>
      <c r="AP49" s="626"/>
      <c r="AQ49" s="1645">
        <v>11</v>
      </c>
    </row>
    <row s="1645" customFormat="1" customHeight="1" ht="11.549999999999999">
      <c r="A50" s="991"/>
      <c r="B50" s="991"/>
      <c r="C50" s="991"/>
      <c r="D50" s="991"/>
      <c r="E50" s="991"/>
      <c r="F50" s="1640"/>
      <c r="G50" s="1640"/>
      <c r="H50" s="355"/>
      <c r="N50" s="1645"/>
      <c r="O50" s="1645"/>
      <c r="P50" s="1645"/>
      <c r="Q50" s="1645"/>
      <c r="R50" s="1645"/>
      <c r="S50" s="1645"/>
      <c r="T50" s="1370"/>
      <c r="V50" s="1370"/>
      <c r="W50" s="1640"/>
      <c r="X50" s="1640"/>
      <c r="Y50" s="1370"/>
      <c r="Z50" s="1370"/>
      <c r="AA50" s="1370"/>
      <c r="AB50" s="1370"/>
      <c r="AC50" s="1640"/>
      <c r="AD50" s="1370"/>
      <c r="AE50" s="1370"/>
      <c r="AF50" s="548"/>
      <c r="AG50" s="1370"/>
      <c r="AH50" s="1370"/>
      <c r="AI50" s="1370"/>
      <c r="AJ50" s="1370"/>
      <c r="AK50" s="1370"/>
      <c r="AL50" s="1636"/>
      <c r="AM50" s="626"/>
      <c r="AN50" s="626"/>
      <c r="AO50" s="626"/>
      <c r="AP50" s="626"/>
      <c r="AQ50" s="1645">
        <v>11</v>
      </c>
    </row>
    <row s="1645" customFormat="1" customHeight="1" ht="11.549999999999999">
      <c r="A51" s="991"/>
      <c r="B51" s="991"/>
      <c r="C51" s="991"/>
      <c r="D51" s="991"/>
      <c r="E51" s="991"/>
      <c r="F51" s="1640"/>
      <c r="G51" s="1640"/>
      <c r="H51" s="355"/>
      <c r="N51" s="1645"/>
      <c r="O51" s="1645"/>
      <c r="P51" s="1645"/>
      <c r="Q51" s="1645"/>
      <c r="R51" s="1645"/>
      <c r="S51" s="1645"/>
      <c r="T51" s="1370"/>
      <c r="V51" s="1370"/>
      <c r="W51" s="1640"/>
      <c r="X51" s="1640"/>
      <c r="Y51" s="1370"/>
      <c r="Z51" s="1370"/>
      <c r="AA51" s="1370"/>
      <c r="AB51" s="1370"/>
      <c r="AC51" s="1640"/>
      <c r="AD51" s="1370"/>
      <c r="AE51" s="1370"/>
      <c r="AF51" s="548"/>
      <c r="AG51" s="1370"/>
      <c r="AH51" s="1370"/>
      <c r="AI51" s="1370"/>
      <c r="AJ51" s="1370"/>
      <c r="AK51" s="1370"/>
      <c r="AL51" s="1636"/>
      <c r="AM51" s="626"/>
      <c r="AN51" s="626"/>
      <c r="AO51" s="626"/>
      <c r="AP51" s="626"/>
      <c r="AQ51" s="1645">
        <v>11</v>
      </c>
    </row>
    <row s="1645" customFormat="1" customHeight="1" ht="11.549999999999999">
      <c r="A52" s="991"/>
      <c r="B52" s="991"/>
      <c r="C52" s="991"/>
      <c r="D52" s="991"/>
      <c r="E52" s="991"/>
      <c r="F52" s="1640"/>
      <c r="G52" s="1640"/>
      <c r="H52" s="355"/>
      <c r="N52" s="1645"/>
      <c r="O52" s="1645"/>
      <c r="P52" s="1645"/>
      <c r="Q52" s="1645"/>
      <c r="R52" s="1645"/>
      <c r="S52" s="1645"/>
      <c r="T52" s="1370"/>
      <c r="V52" s="1370"/>
      <c r="W52" s="1640"/>
      <c r="X52" s="1640"/>
      <c r="Y52" s="1370"/>
      <c r="Z52" s="1370"/>
      <c r="AA52" s="1370"/>
      <c r="AB52" s="1370"/>
      <c r="AC52" s="1640"/>
      <c r="AD52" s="1370"/>
      <c r="AE52" s="1370"/>
      <c r="AF52" s="548"/>
      <c r="AG52" s="1370"/>
      <c r="AH52" s="1370"/>
      <c r="AI52" s="1370"/>
      <c r="AJ52" s="1370"/>
      <c r="AK52" s="1370"/>
      <c r="AL52" s="1636"/>
      <c r="AM52" s="626"/>
      <c r="AN52" s="626"/>
      <c r="AO52" s="626"/>
      <c r="AP52" s="626"/>
      <c r="AQ52" s="1645">
        <v>11</v>
      </c>
    </row>
    <row s="1645" customFormat="1" customHeight="1" ht="11.549999999999999">
      <c r="A53" s="991"/>
      <c r="B53" s="991"/>
      <c r="C53" s="991"/>
      <c r="D53" s="991"/>
      <c r="E53" s="991"/>
      <c r="F53" s="1640"/>
      <c r="G53" s="1640"/>
      <c r="H53" s="355"/>
      <c r="N53" s="1645"/>
      <c r="O53" s="1645"/>
      <c r="P53" s="1645"/>
      <c r="Q53" s="1645"/>
      <c r="R53" s="1645"/>
      <c r="S53" s="1645"/>
      <c r="T53" s="1370"/>
      <c r="V53" s="1370"/>
      <c r="W53" s="1640"/>
      <c r="X53" s="1640"/>
      <c r="Y53" s="1370"/>
      <c r="Z53" s="1370"/>
      <c r="AA53" s="1370"/>
      <c r="AB53" s="1370"/>
      <c r="AC53" s="1640"/>
      <c r="AD53" s="1370"/>
      <c r="AE53" s="1370"/>
      <c r="AF53" s="548"/>
      <c r="AG53" s="1370"/>
      <c r="AH53" s="1370"/>
      <c r="AI53" s="1370"/>
      <c r="AJ53" s="1370"/>
      <c r="AK53" s="1370"/>
      <c r="AL53" s="1636"/>
      <c r="AM53" s="626"/>
      <c r="AN53" s="626"/>
      <c r="AO53" s="626"/>
      <c r="AP53" s="626"/>
      <c r="AQ53" s="1645">
        <v>11</v>
      </c>
    </row>
    <row s="1645" customFormat="1" customHeight="1" ht="11.549999999999999">
      <c r="A54" s="991"/>
      <c r="B54" s="991"/>
      <c r="C54" s="991"/>
      <c r="D54" s="991"/>
      <c r="E54" s="991"/>
      <c r="F54" s="1640"/>
      <c r="G54" s="1640"/>
      <c r="H54" s="355"/>
      <c r="N54" s="1645"/>
      <c r="O54" s="1645"/>
      <c r="P54" s="1645"/>
      <c r="Q54" s="1645"/>
      <c r="R54" s="1645"/>
      <c r="S54" s="1645"/>
      <c r="T54" s="1370"/>
      <c r="V54" s="1370"/>
      <c r="W54" s="1640"/>
      <c r="X54" s="1640"/>
      <c r="Y54" s="1370"/>
      <c r="Z54" s="1370"/>
      <c r="AA54" s="1370"/>
      <c r="AB54" s="1370"/>
      <c r="AC54" s="1640"/>
      <c r="AD54" s="1370"/>
      <c r="AE54" s="1370"/>
      <c r="AF54" s="548"/>
      <c r="AG54" s="1370"/>
      <c r="AH54" s="1370"/>
      <c r="AI54" s="1370"/>
      <c r="AJ54" s="1370"/>
      <c r="AK54" s="1370"/>
      <c r="AL54" s="1636"/>
      <c r="AM54" s="626"/>
      <c r="AN54" s="626"/>
      <c r="AO54" s="626"/>
      <c r="AP54" s="626"/>
      <c r="AQ54" s="1645">
        <v>11</v>
      </c>
    </row>
    <row s="1645" customFormat="1" customHeight="1" ht="11.549999999999999">
      <c r="A55" s="991"/>
      <c r="B55" s="991"/>
      <c r="C55" s="991"/>
      <c r="D55" s="991"/>
      <c r="E55" s="991"/>
      <c r="F55" s="1640"/>
      <c r="G55" s="1640"/>
      <c r="H55" s="355"/>
      <c r="N55" s="1645"/>
      <c r="O55" s="1645"/>
      <c r="P55" s="1645"/>
      <c r="Q55" s="1645"/>
      <c r="R55" s="1645"/>
      <c r="S55" s="1645"/>
      <c r="T55" s="1370"/>
      <c r="V55" s="1370"/>
      <c r="W55" s="1640"/>
      <c r="X55" s="1640"/>
      <c r="Y55" s="1370"/>
      <c r="Z55" s="1370"/>
      <c r="AA55" s="1370"/>
      <c r="AB55" s="1370"/>
      <c r="AC55" s="1640"/>
      <c r="AD55" s="1370"/>
      <c r="AE55" s="1370"/>
      <c r="AF55" s="548"/>
      <c r="AG55" s="1370"/>
      <c r="AH55" s="1370"/>
      <c r="AI55" s="1370"/>
      <c r="AJ55" s="1370"/>
      <c r="AK55" s="1370"/>
      <c r="AL55" s="1636"/>
      <c r="AM55" s="626"/>
      <c r="AN55" s="626"/>
      <c r="AO55" s="626"/>
      <c r="AP55" s="626"/>
      <c r="AQ55" s="1645">
        <v>11</v>
      </c>
    </row>
    <row s="1645" customFormat="1" customHeight="1" ht="11.549999999999999">
      <c r="A56" s="991"/>
      <c r="B56" s="991"/>
      <c r="C56" s="991"/>
      <c r="D56" s="991"/>
      <c r="E56" s="991"/>
      <c r="F56" s="1640"/>
      <c r="G56" s="1640"/>
      <c r="H56" s="355"/>
      <c r="N56" s="1645"/>
      <c r="O56" s="1645"/>
      <c r="P56" s="1645"/>
      <c r="Q56" s="1645"/>
      <c r="R56" s="1645"/>
      <c r="S56" s="1645"/>
      <c r="T56" s="1370"/>
      <c r="V56" s="1370"/>
      <c r="W56" s="1640"/>
      <c r="X56" s="1640"/>
      <c r="Y56" s="1370"/>
      <c r="Z56" s="1370"/>
      <c r="AA56" s="1370"/>
      <c r="AB56" s="1370"/>
      <c r="AC56" s="1640"/>
      <c r="AD56" s="1370"/>
      <c r="AE56" s="1370"/>
      <c r="AF56" s="548"/>
      <c r="AG56" s="1370"/>
      <c r="AH56" s="1370"/>
      <c r="AI56" s="1370"/>
      <c r="AJ56" s="1370"/>
      <c r="AK56" s="1370"/>
      <c r="AL56" s="1636"/>
      <c r="AM56" s="626"/>
      <c r="AN56" s="626"/>
      <c r="AO56" s="626"/>
      <c r="AP56" s="626"/>
      <c r="AQ56" s="1645">
        <v>11</v>
      </c>
    </row>
    <row s="1645" customFormat="1" customHeight="1" ht="11.549999999999999">
      <c r="A57" s="991"/>
      <c r="B57" s="991"/>
      <c r="C57" s="991"/>
      <c r="D57" s="991"/>
      <c r="E57" s="991"/>
      <c r="F57" s="1640"/>
      <c r="G57" s="1640"/>
      <c r="H57" s="355"/>
      <c r="N57" s="1645"/>
      <c r="O57" s="1645"/>
      <c r="P57" s="1645"/>
      <c r="Q57" s="1645"/>
      <c r="R57" s="1645"/>
      <c r="S57" s="1645"/>
      <c r="T57" s="1370"/>
      <c r="V57" s="1370"/>
      <c r="W57" s="1640"/>
      <c r="X57" s="1640"/>
      <c r="Y57" s="1370"/>
      <c r="Z57" s="1370"/>
      <c r="AA57" s="1370"/>
      <c r="AB57" s="1370"/>
      <c r="AC57" s="1640"/>
      <c r="AD57" s="1370"/>
      <c r="AE57" s="1370"/>
      <c r="AF57" s="548"/>
      <c r="AG57" s="1370"/>
      <c r="AH57" s="1370"/>
      <c r="AI57" s="1370"/>
      <c r="AJ57" s="1370"/>
      <c r="AK57" s="1370"/>
      <c r="AL57" s="1636"/>
      <c r="AM57" s="626"/>
      <c r="AN57" s="626"/>
      <c r="AO57" s="626"/>
      <c r="AP57" s="626"/>
      <c r="AQ57" s="1645">
        <v>11</v>
      </c>
    </row>
    <row s="1645" customFormat="1" customHeight="1" ht="11.549999999999999">
      <c r="A58" s="991"/>
      <c r="B58" s="991"/>
      <c r="C58" s="991"/>
      <c r="D58" s="991"/>
      <c r="E58" s="991"/>
      <c r="F58" s="1640"/>
      <c r="G58" s="1640"/>
      <c r="H58" s="355"/>
      <c r="N58" s="1645"/>
      <c r="O58" s="1645"/>
      <c r="P58" s="1645"/>
      <c r="Q58" s="1645"/>
      <c r="R58" s="1645"/>
      <c r="S58" s="1645"/>
      <c r="T58" s="1370"/>
      <c r="V58" s="1370"/>
      <c r="W58" s="1640"/>
      <c r="X58" s="1640"/>
      <c r="Y58" s="1370"/>
      <c r="Z58" s="1370"/>
      <c r="AA58" s="1370"/>
      <c r="AB58" s="1370"/>
      <c r="AC58" s="1640"/>
      <c r="AD58" s="1370"/>
      <c r="AE58" s="1370"/>
      <c r="AF58" s="548"/>
      <c r="AG58" s="1370"/>
      <c r="AH58" s="1370"/>
      <c r="AI58" s="1370"/>
      <c r="AJ58" s="1370"/>
      <c r="AK58" s="1370"/>
      <c r="AL58" s="1636"/>
      <c r="AM58" s="626"/>
      <c r="AN58" s="626"/>
      <c r="AO58" s="626"/>
      <c r="AP58" s="626"/>
      <c r="AQ58" s="1645">
        <v>11</v>
      </c>
    </row>
    <row s="1645" customFormat="1" customHeight="1" ht="11.549999999999999">
      <c r="A59" s="991"/>
      <c r="B59" s="991"/>
      <c r="C59" s="991"/>
      <c r="D59" s="991"/>
      <c r="E59" s="991"/>
      <c r="F59" s="1640"/>
      <c r="G59" s="1640"/>
      <c r="H59" s="355"/>
      <c r="N59" s="1645"/>
      <c r="O59" s="1645"/>
      <c r="P59" s="1645"/>
      <c r="Q59" s="1645"/>
      <c r="R59" s="1645"/>
      <c r="S59" s="1645"/>
      <c r="T59" s="1370"/>
      <c r="V59" s="1370"/>
      <c r="W59" s="1640"/>
      <c r="X59" s="1640"/>
      <c r="Y59" s="1370"/>
      <c r="Z59" s="1370"/>
      <c r="AA59" s="1370"/>
      <c r="AB59" s="1370"/>
      <c r="AC59" s="1640"/>
      <c r="AD59" s="1370"/>
      <c r="AE59" s="1370"/>
      <c r="AF59" s="548"/>
      <c r="AG59" s="1370"/>
      <c r="AH59" s="1370"/>
      <c r="AI59" s="1370"/>
      <c r="AJ59" s="1370"/>
      <c r="AK59" s="1370"/>
      <c r="AL59" s="1636"/>
      <c r="AM59" s="626"/>
      <c r="AN59" s="626"/>
      <c r="AO59" s="626"/>
      <c r="AP59" s="626"/>
      <c r="AQ59" s="1645">
        <v>11</v>
      </c>
    </row>
    <row s="1645" customFormat="1" customHeight="1" ht="11.549999999999999">
      <c r="A60" s="991"/>
      <c r="B60" s="991"/>
      <c r="C60" s="991"/>
      <c r="D60" s="991"/>
      <c r="E60" s="991"/>
      <c r="F60" s="1640"/>
      <c r="G60" s="1640"/>
      <c r="H60" s="355"/>
      <c r="N60" s="1645"/>
      <c r="O60" s="1645"/>
      <c r="P60" s="1645"/>
      <c r="Q60" s="1645"/>
      <c r="R60" s="1645"/>
      <c r="S60" s="1645"/>
      <c r="T60" s="1370"/>
      <c r="V60" s="1370"/>
      <c r="W60" s="1640"/>
      <c r="X60" s="1640"/>
      <c r="Y60" s="1370"/>
      <c r="Z60" s="1370"/>
      <c r="AA60" s="1370"/>
      <c r="AB60" s="1370"/>
      <c r="AC60" s="1640"/>
      <c r="AD60" s="1370"/>
      <c r="AE60" s="1370"/>
      <c r="AF60" s="548"/>
      <c r="AG60" s="1370"/>
      <c r="AH60" s="1370"/>
      <c r="AI60" s="1370"/>
      <c r="AJ60" s="1370"/>
      <c r="AK60" s="1370"/>
      <c r="AL60" s="1636"/>
      <c r="AM60" s="626"/>
      <c r="AN60" s="626"/>
      <c r="AO60" s="626"/>
      <c r="AP60" s="626"/>
      <c r="AQ60" s="1645">
        <v>11</v>
      </c>
    </row>
    <row s="1645" customFormat="1" customHeight="1" ht="11.549999999999999">
      <c r="A61" s="991"/>
      <c r="B61" s="991"/>
      <c r="C61" s="991"/>
      <c r="D61" s="991"/>
      <c r="E61" s="991"/>
      <c r="F61" s="1640"/>
      <c r="G61" s="1640"/>
      <c r="H61" s="355"/>
      <c r="N61" s="1645"/>
      <c r="O61" s="1645"/>
      <c r="P61" s="1645"/>
      <c r="Q61" s="1645"/>
      <c r="R61" s="1645"/>
      <c r="S61" s="1645"/>
      <c r="T61" s="1370"/>
      <c r="V61" s="1370"/>
      <c r="W61" s="1640"/>
      <c r="X61" s="1640"/>
      <c r="Y61" s="1370"/>
      <c r="Z61" s="1370"/>
      <c r="AA61" s="1370"/>
      <c r="AB61" s="1370"/>
      <c r="AC61" s="1640"/>
      <c r="AD61" s="1370"/>
      <c r="AE61" s="1370"/>
      <c r="AF61" s="548"/>
      <c r="AG61" s="1370"/>
      <c r="AH61" s="1370"/>
      <c r="AI61" s="1370"/>
      <c r="AJ61" s="1370"/>
      <c r="AK61" s="1370"/>
      <c r="AL61" s="1636"/>
      <c r="AM61" s="626"/>
      <c r="AN61" s="626"/>
      <c r="AO61" s="626"/>
      <c r="AP61" s="626"/>
      <c r="AQ61" s="1645">
        <v>11</v>
      </c>
    </row>
    <row s="1645" customFormat="1" customHeight="1" ht="11.549999999999999">
      <c r="A62" s="991"/>
      <c r="B62" s="991"/>
      <c r="C62" s="991"/>
      <c r="D62" s="991"/>
      <c r="E62" s="991"/>
      <c r="F62" s="1640"/>
      <c r="G62" s="1640"/>
      <c r="H62" s="355"/>
      <c r="N62" s="1645"/>
      <c r="O62" s="1645"/>
      <c r="P62" s="1645"/>
      <c r="Q62" s="1645"/>
      <c r="R62" s="1645"/>
      <c r="S62" s="1645"/>
      <c r="T62" s="1370"/>
      <c r="V62" s="1370"/>
      <c r="W62" s="1640"/>
      <c r="X62" s="1640"/>
      <c r="Y62" s="1370"/>
      <c r="Z62" s="1370"/>
      <c r="AA62" s="1370"/>
      <c r="AB62" s="1370"/>
      <c r="AC62" s="1640"/>
      <c r="AD62" s="1370"/>
      <c r="AE62" s="1370"/>
      <c r="AF62" s="548"/>
      <c r="AG62" s="1370"/>
      <c r="AH62" s="1370"/>
      <c r="AI62" s="1370"/>
      <c r="AJ62" s="1370"/>
      <c r="AK62" s="1370"/>
      <c r="AL62" s="1636"/>
      <c r="AM62" s="626"/>
      <c r="AN62" s="626"/>
      <c r="AO62" s="626"/>
      <c r="AP62" s="626"/>
      <c r="AQ62" s="1645">
        <v>11</v>
      </c>
    </row>
    <row s="1645" customFormat="1" customHeight="1" ht="11.549999999999999">
      <c r="A63" s="991"/>
      <c r="B63" s="991"/>
      <c r="C63" s="991"/>
      <c r="D63" s="991"/>
      <c r="E63" s="991"/>
      <c r="F63" s="1640"/>
      <c r="G63" s="1640"/>
      <c r="H63" s="355"/>
      <c r="N63" s="1645"/>
      <c r="O63" s="1645"/>
      <c r="P63" s="1645"/>
      <c r="Q63" s="1645"/>
      <c r="R63" s="1645"/>
      <c r="S63" s="1645"/>
      <c r="T63" s="1370"/>
      <c r="V63" s="1370"/>
      <c r="W63" s="1640"/>
      <c r="X63" s="1640"/>
      <c r="Y63" s="1370"/>
      <c r="Z63" s="1370"/>
      <c r="AA63" s="1370"/>
      <c r="AB63" s="1370"/>
      <c r="AC63" s="1640"/>
      <c r="AD63" s="1370"/>
      <c r="AE63" s="1370"/>
      <c r="AF63" s="548"/>
      <c r="AG63" s="1370"/>
      <c r="AH63" s="1370"/>
      <c r="AI63" s="1370"/>
      <c r="AJ63" s="1370"/>
      <c r="AK63" s="1370"/>
      <c r="AL63" s="1636"/>
      <c r="AM63" s="626"/>
      <c r="AN63" s="626"/>
      <c r="AO63" s="626"/>
      <c r="AP63" s="626"/>
      <c r="AQ63" s="1645">
        <v>11</v>
      </c>
    </row>
    <row s="1645" customFormat="1" customHeight="1" ht="11.549999999999999">
      <c r="A64" s="991"/>
      <c r="B64" s="991"/>
      <c r="C64" s="991"/>
      <c r="D64" s="991"/>
      <c r="E64" s="991"/>
      <c r="F64" s="1640"/>
      <c r="G64" s="1640"/>
      <c r="H64" s="355"/>
      <c r="N64" s="1645"/>
      <c r="O64" s="1645"/>
      <c r="P64" s="1645"/>
      <c r="Q64" s="1645"/>
      <c r="R64" s="1645"/>
      <c r="S64" s="1645"/>
      <c r="T64" s="1370"/>
      <c r="V64" s="1370"/>
      <c r="W64" s="1640"/>
      <c r="X64" s="1640"/>
      <c r="Y64" s="1370"/>
      <c r="Z64" s="1370"/>
      <c r="AA64" s="1370"/>
      <c r="AB64" s="1370"/>
      <c r="AC64" s="1640"/>
      <c r="AD64" s="1370"/>
      <c r="AE64" s="1370"/>
      <c r="AF64" s="548"/>
      <c r="AG64" s="1370"/>
      <c r="AH64" s="1370"/>
      <c r="AI64" s="1370"/>
      <c r="AJ64" s="1370"/>
      <c r="AK64" s="1370"/>
      <c r="AL64" s="1636"/>
      <c r="AM64" s="626"/>
      <c r="AN64" s="626"/>
      <c r="AO64" s="626"/>
      <c r="AP64" s="626"/>
      <c r="AQ64" s="1645">
        <v>11</v>
      </c>
    </row>
    <row s="1645" customFormat="1" customHeight="1" ht="11.549999999999999">
      <c r="A65" s="991"/>
      <c r="B65" s="991"/>
      <c r="C65" s="991"/>
      <c r="D65" s="991"/>
      <c r="E65" s="991"/>
      <c r="F65" s="1640"/>
      <c r="G65" s="1640"/>
      <c r="H65" s="355"/>
      <c r="N65" s="1645"/>
      <c r="O65" s="1645"/>
      <c r="P65" s="1645"/>
      <c r="Q65" s="1645"/>
      <c r="R65" s="1645"/>
      <c r="S65" s="1645"/>
      <c r="T65" s="1370"/>
      <c r="V65" s="1370"/>
      <c r="W65" s="1640"/>
      <c r="X65" s="1640"/>
      <c r="Y65" s="1370"/>
      <c r="Z65" s="1370"/>
      <c r="AA65" s="1370"/>
      <c r="AB65" s="1370"/>
      <c r="AC65" s="1640"/>
      <c r="AD65" s="1370"/>
      <c r="AE65" s="1370"/>
      <c r="AF65" s="548"/>
      <c r="AG65" s="1370"/>
      <c r="AH65" s="1370"/>
      <c r="AI65" s="1370"/>
      <c r="AJ65" s="1370"/>
      <c r="AK65" s="1370"/>
      <c r="AL65" s="1636"/>
      <c r="AM65" s="626"/>
      <c r="AN65" s="626"/>
      <c r="AO65" s="626"/>
      <c r="AP65" s="626"/>
      <c r="AQ65" s="1645">
        <v>11</v>
      </c>
    </row>
    <row s="1645" customFormat="1" customHeight="1" ht="11.549999999999999">
      <c r="A66" s="991"/>
      <c r="B66" s="991"/>
      <c r="C66" s="991"/>
      <c r="D66" s="991"/>
      <c r="E66" s="991"/>
      <c r="F66" s="1640"/>
      <c r="G66" s="1640"/>
      <c r="H66" s="355"/>
      <c r="N66" s="1645"/>
      <c r="O66" s="1645"/>
      <c r="P66" s="1645"/>
      <c r="Q66" s="1645"/>
      <c r="R66" s="1645"/>
      <c r="S66" s="1645"/>
      <c r="T66" s="1370"/>
      <c r="V66" s="1370"/>
      <c r="W66" s="1640"/>
      <c r="X66" s="1640"/>
      <c r="Y66" s="1370"/>
      <c r="Z66" s="1370"/>
      <c r="AA66" s="1370"/>
      <c r="AB66" s="1370"/>
      <c r="AC66" s="1640"/>
      <c r="AD66" s="1370"/>
      <c r="AE66" s="1370"/>
      <c r="AF66" s="548"/>
      <c r="AG66" s="1370"/>
      <c r="AH66" s="1370"/>
      <c r="AI66" s="1370"/>
      <c r="AJ66" s="1370"/>
      <c r="AK66" s="1370"/>
      <c r="AL66" s="1636"/>
      <c r="AM66" s="626"/>
      <c r="AN66" s="626"/>
      <c r="AO66" s="626"/>
      <c r="AP66" s="626"/>
      <c r="AQ66" s="1645">
        <v>11</v>
      </c>
    </row>
    <row s="1645" customFormat="1" customHeight="1" ht="11.549999999999999">
      <c r="A67" s="991"/>
      <c r="B67" s="991"/>
      <c r="C67" s="991"/>
      <c r="D67" s="991"/>
      <c r="E67" s="991"/>
      <c r="F67" s="1640"/>
      <c r="G67" s="1640"/>
      <c r="H67" s="355"/>
      <c r="N67" s="1645"/>
      <c r="O67" s="1645"/>
      <c r="P67" s="1645"/>
      <c r="Q67" s="1645"/>
      <c r="R67" s="1645"/>
      <c r="S67" s="1645"/>
      <c r="T67" s="1370"/>
      <c r="V67" s="1370"/>
      <c r="W67" s="1640"/>
      <c r="X67" s="1640"/>
      <c r="Y67" s="1370"/>
      <c r="Z67" s="1370"/>
      <c r="AA67" s="1370"/>
      <c r="AB67" s="1370"/>
      <c r="AC67" s="1640"/>
      <c r="AD67" s="1370"/>
      <c r="AE67" s="1370"/>
      <c r="AF67" s="548"/>
      <c r="AG67" s="1370"/>
      <c r="AH67" s="1370"/>
      <c r="AI67" s="1370"/>
      <c r="AJ67" s="1370"/>
      <c r="AK67" s="1370"/>
      <c r="AL67" s="1636"/>
      <c r="AM67" s="626"/>
      <c r="AN67" s="626"/>
      <c r="AO67" s="626"/>
      <c r="AP67" s="626"/>
      <c r="AQ67" s="1645">
        <v>11</v>
      </c>
    </row>
    <row s="1645" customFormat="1" customHeight="1" ht="11.549999999999999">
      <c r="A68" s="991"/>
      <c r="B68" s="991"/>
      <c r="C68" s="991"/>
      <c r="D68" s="991"/>
      <c r="E68" s="991"/>
      <c r="F68" s="1640"/>
      <c r="G68" s="1640"/>
      <c r="H68" s="355"/>
      <c r="N68" s="1645"/>
      <c r="O68" s="1645"/>
      <c r="P68" s="1645"/>
      <c r="Q68" s="1645"/>
      <c r="R68" s="1645"/>
      <c r="S68" s="1645"/>
      <c r="T68" s="1370"/>
      <c r="V68" s="1370"/>
      <c r="W68" s="1640"/>
      <c r="X68" s="1640"/>
      <c r="Y68" s="1370"/>
      <c r="Z68" s="1370"/>
      <c r="AA68" s="1370"/>
      <c r="AB68" s="1370"/>
      <c r="AC68" s="1640"/>
      <c r="AD68" s="1370"/>
      <c r="AE68" s="1370"/>
      <c r="AF68" s="548"/>
      <c r="AG68" s="1370"/>
      <c r="AH68" s="1370"/>
      <c r="AI68" s="1370"/>
      <c r="AJ68" s="1370"/>
      <c r="AK68" s="1370"/>
      <c r="AL68" s="1636"/>
      <c r="AM68" s="626"/>
      <c r="AN68" s="626"/>
      <c r="AO68" s="626"/>
      <c r="AP68" s="626"/>
      <c r="AQ68" s="1645">
        <v>11</v>
      </c>
    </row>
    <row s="1645" customFormat="1" customHeight="1" ht="11.549999999999999">
      <c r="A69" s="991"/>
      <c r="B69" s="991"/>
      <c r="C69" s="991"/>
      <c r="D69" s="991"/>
      <c r="E69" s="991"/>
      <c r="F69" s="1640"/>
      <c r="G69" s="1640"/>
      <c r="H69" s="355"/>
      <c r="N69" s="1645"/>
      <c r="O69" s="1645"/>
      <c r="P69" s="1645"/>
      <c r="Q69" s="1645"/>
      <c r="R69" s="1645"/>
      <c r="S69" s="1645"/>
      <c r="T69" s="1370"/>
      <c r="V69" s="1370"/>
      <c r="W69" s="1640"/>
      <c r="X69" s="1640"/>
      <c r="Y69" s="1370"/>
      <c r="Z69" s="1370"/>
      <c r="AA69" s="1370"/>
      <c r="AB69" s="1370"/>
      <c r="AC69" s="1640"/>
      <c r="AD69" s="1370"/>
      <c r="AE69" s="1370"/>
      <c r="AF69" s="548"/>
      <c r="AG69" s="1370"/>
      <c r="AH69" s="1370"/>
      <c r="AI69" s="1370"/>
      <c r="AJ69" s="1370"/>
      <c r="AK69" s="1370"/>
      <c r="AL69" s="1636"/>
      <c r="AM69" s="626"/>
      <c r="AN69" s="626"/>
      <c r="AO69" s="626"/>
      <c r="AP69" s="626"/>
      <c r="AQ69" s="1645">
        <v>11</v>
      </c>
    </row>
    <row s="1645" customFormat="1" customHeight="1" ht="11.549999999999999">
      <c r="A70" s="991"/>
      <c r="B70" s="991"/>
      <c r="C70" s="991"/>
      <c r="D70" s="991"/>
      <c r="E70" s="991"/>
      <c r="F70" s="1640"/>
      <c r="G70" s="1640"/>
      <c r="H70" s="355"/>
      <c r="N70" s="1645"/>
      <c r="O70" s="1645"/>
      <c r="P70" s="1645"/>
      <c r="Q70" s="1645"/>
      <c r="R70" s="1645"/>
      <c r="S70" s="1645"/>
      <c r="T70" s="1370"/>
      <c r="V70" s="1370"/>
      <c r="W70" s="1640"/>
      <c r="X70" s="1640"/>
      <c r="Y70" s="1370"/>
      <c r="Z70" s="1370"/>
      <c r="AA70" s="1370"/>
      <c r="AB70" s="1370"/>
      <c r="AC70" s="1640"/>
      <c r="AD70" s="1370"/>
      <c r="AE70" s="1370"/>
      <c r="AF70" s="548"/>
      <c r="AG70" s="1370"/>
      <c r="AH70" s="1370"/>
      <c r="AI70" s="1370"/>
      <c r="AJ70" s="1370"/>
      <c r="AK70" s="1370"/>
      <c r="AL70" s="1636"/>
      <c r="AM70" s="626"/>
      <c r="AN70" s="626"/>
      <c r="AO70" s="626"/>
      <c r="AP70" s="626"/>
      <c r="AQ70" s="1645">
        <v>11</v>
      </c>
    </row>
    <row s="1645" customFormat="1" customHeight="1" ht="11.549999999999999">
      <c r="A71" s="991"/>
      <c r="B71" s="991"/>
      <c r="C71" s="991"/>
      <c r="D71" s="991"/>
      <c r="E71" s="991"/>
      <c r="F71" s="1640"/>
      <c r="G71" s="1640"/>
      <c r="H71" s="355"/>
      <c r="N71" s="1645"/>
      <c r="O71" s="1645"/>
      <c r="P71" s="1645"/>
      <c r="Q71" s="1645"/>
      <c r="R71" s="1645"/>
      <c r="S71" s="1645"/>
      <c r="T71" s="1370"/>
      <c r="V71" s="1370"/>
      <c r="W71" s="1640"/>
      <c r="X71" s="1640"/>
      <c r="Y71" s="1370"/>
      <c r="Z71" s="1370"/>
      <c r="AA71" s="1370"/>
      <c r="AB71" s="1370"/>
      <c r="AC71" s="1640"/>
      <c r="AD71" s="1370"/>
      <c r="AE71" s="1370"/>
      <c r="AF71" s="548"/>
      <c r="AG71" s="1370"/>
      <c r="AH71" s="1370"/>
      <c r="AI71" s="1370"/>
      <c r="AJ71" s="1370"/>
      <c r="AK71" s="1370"/>
      <c r="AL71" s="1636"/>
      <c r="AM71" s="626"/>
      <c r="AN71" s="626"/>
      <c r="AO71" s="626"/>
      <c r="AP71" s="626"/>
      <c r="AQ71" s="1645">
        <v>11</v>
      </c>
    </row>
    <row s="1645" customFormat="1" customHeight="1" ht="11.549999999999999">
      <c r="A72" s="991"/>
      <c r="B72" s="991"/>
      <c r="C72" s="991"/>
      <c r="D72" s="991"/>
      <c r="E72" s="991"/>
      <c r="F72" s="1640"/>
      <c r="G72" s="1640"/>
      <c r="H72" s="355"/>
      <c r="N72" s="1645"/>
      <c r="O72" s="1645"/>
      <c r="P72" s="1645"/>
      <c r="Q72" s="1645"/>
      <c r="R72" s="1645"/>
      <c r="S72" s="1645"/>
      <c r="T72" s="1370"/>
      <c r="V72" s="1370"/>
      <c r="W72" s="1640"/>
      <c r="X72" s="1640"/>
      <c r="Y72" s="1370"/>
      <c r="Z72" s="1370"/>
      <c r="AA72" s="1370"/>
      <c r="AB72" s="1370"/>
      <c r="AC72" s="1640"/>
      <c r="AD72" s="1370"/>
      <c r="AE72" s="1370"/>
      <c r="AF72" s="548"/>
      <c r="AG72" s="1370"/>
      <c r="AH72" s="1370"/>
      <c r="AI72" s="1370"/>
      <c r="AJ72" s="1370"/>
      <c r="AK72" s="1370"/>
      <c r="AL72" s="1636"/>
      <c r="AM72" s="626"/>
      <c r="AN72" s="626"/>
      <c r="AO72" s="626"/>
      <c r="AP72" s="626"/>
      <c r="AQ72" s="1645">
        <v>11</v>
      </c>
    </row>
    <row s="1645" customFormat="1" customHeight="1" ht="11.549999999999999">
      <c r="A73" s="991"/>
      <c r="B73" s="991"/>
      <c r="C73" s="991"/>
      <c r="D73" s="991"/>
      <c r="E73" s="991"/>
      <c r="F73" s="1640"/>
      <c r="G73" s="1640"/>
      <c r="H73" s="355"/>
      <c r="N73" s="1645"/>
      <c r="O73" s="1645"/>
      <c r="P73" s="1645"/>
      <c r="Q73" s="1645"/>
      <c r="R73" s="1645"/>
      <c r="S73" s="1645"/>
      <c r="T73" s="1370"/>
      <c r="V73" s="1370"/>
      <c r="W73" s="1640"/>
      <c r="X73" s="1640"/>
      <c r="Y73" s="1370"/>
      <c r="Z73" s="1370"/>
      <c r="AA73" s="1370"/>
      <c r="AB73" s="1370"/>
      <c r="AC73" s="1640"/>
      <c r="AD73" s="1370"/>
      <c r="AE73" s="1370"/>
      <c r="AF73" s="548"/>
      <c r="AG73" s="1370"/>
      <c r="AH73" s="1370"/>
      <c r="AI73" s="1370"/>
      <c r="AJ73" s="1370"/>
      <c r="AK73" s="1370"/>
      <c r="AL73" s="1636"/>
      <c r="AM73" s="626"/>
      <c r="AN73" s="626"/>
      <c r="AO73" s="626"/>
      <c r="AP73" s="626"/>
      <c r="AQ73" s="1645">
        <v>11</v>
      </c>
    </row>
    <row s="1645" customFormat="1" customHeight="1" ht="11.549999999999999">
      <c r="A74" s="991"/>
      <c r="B74" s="991"/>
      <c r="C74" s="991"/>
      <c r="D74" s="991"/>
      <c r="E74" s="991"/>
      <c r="F74" s="1640"/>
      <c r="G74" s="1640"/>
      <c r="H74" s="355"/>
      <c r="N74" s="1645"/>
      <c r="O74" s="1645"/>
      <c r="P74" s="1645"/>
      <c r="Q74" s="1645"/>
      <c r="R74" s="1645"/>
      <c r="S74" s="1645"/>
      <c r="T74" s="1370"/>
      <c r="V74" s="1370"/>
      <c r="W74" s="1640"/>
      <c r="X74" s="1640"/>
      <c r="Y74" s="1370"/>
      <c r="Z74" s="1370"/>
      <c r="AA74" s="1370"/>
      <c r="AB74" s="1370"/>
      <c r="AC74" s="1640"/>
      <c r="AD74" s="1370"/>
      <c r="AE74" s="1370"/>
      <c r="AF74" s="548"/>
      <c r="AG74" s="1370"/>
      <c r="AH74" s="1370"/>
      <c r="AI74" s="1370"/>
      <c r="AJ74" s="1370"/>
      <c r="AK74" s="1370"/>
      <c r="AL74" s="1636"/>
      <c r="AM74" s="626"/>
      <c r="AN74" s="626"/>
      <c r="AO74" s="626"/>
      <c r="AP74" s="626"/>
      <c r="AQ74" s="1645">
        <v>11</v>
      </c>
    </row>
    <row s="1645" customFormat="1" customHeight="1" ht="11.549999999999999">
      <c r="A75" s="991"/>
      <c r="B75" s="991"/>
      <c r="C75" s="991"/>
      <c r="D75" s="991"/>
      <c r="E75" s="991"/>
      <c r="F75" s="1640"/>
      <c r="G75" s="1640"/>
      <c r="H75" s="355"/>
      <c r="N75" s="1645"/>
      <c r="O75" s="1645"/>
      <c r="P75" s="1645"/>
      <c r="Q75" s="1645"/>
      <c r="R75" s="1645"/>
      <c r="S75" s="1645"/>
      <c r="T75" s="1370"/>
      <c r="V75" s="1370"/>
      <c r="W75" s="1640"/>
      <c r="X75" s="1640"/>
      <c r="Y75" s="1370"/>
      <c r="Z75" s="1370"/>
      <c r="AA75" s="1370"/>
      <c r="AB75" s="1370"/>
      <c r="AC75" s="1640"/>
      <c r="AD75" s="1370"/>
      <c r="AE75" s="1370"/>
      <c r="AF75" s="548"/>
      <c r="AG75" s="1370"/>
      <c r="AH75" s="1370"/>
      <c r="AI75" s="1370"/>
      <c r="AJ75" s="1370"/>
      <c r="AK75" s="1370"/>
      <c r="AL75" s="1636"/>
      <c r="AM75" s="626"/>
      <c r="AN75" s="626"/>
      <c r="AO75" s="626"/>
      <c r="AP75" s="626"/>
      <c r="AQ75" s="1645">
        <v>11</v>
      </c>
    </row>
    <row s="1645" customFormat="1" customHeight="1" ht="11.549999999999999">
      <c r="A76" s="991"/>
      <c r="B76" s="991"/>
      <c r="C76" s="991"/>
      <c r="D76" s="991"/>
      <c r="E76" s="991"/>
      <c r="F76" s="1640"/>
      <c r="G76" s="1640"/>
      <c r="H76" s="355"/>
      <c r="N76" s="1645"/>
      <c r="O76" s="1645"/>
      <c r="P76" s="1645"/>
      <c r="Q76" s="1645"/>
      <c r="R76" s="1645"/>
      <c r="S76" s="1645"/>
      <c r="T76" s="1370"/>
      <c r="V76" s="1370"/>
      <c r="W76" s="1640"/>
      <c r="X76" s="1640"/>
      <c r="Y76" s="1370"/>
      <c r="Z76" s="1370"/>
      <c r="AA76" s="1370"/>
      <c r="AB76" s="1370"/>
      <c r="AC76" s="1640"/>
      <c r="AD76" s="1370"/>
      <c r="AE76" s="1370"/>
      <c r="AF76" s="548"/>
      <c r="AG76" s="1370"/>
      <c r="AH76" s="1370"/>
      <c r="AI76" s="1370"/>
      <c r="AJ76" s="1370"/>
      <c r="AK76" s="1370"/>
      <c r="AL76" s="1636"/>
      <c r="AM76" s="626"/>
      <c r="AN76" s="626"/>
      <c r="AO76" s="626"/>
      <c r="AP76" s="626"/>
      <c r="AQ76" s="1645">
        <v>11</v>
      </c>
    </row>
    <row s="1645" customFormat="1" customHeight="1" ht="11.549999999999999">
      <c r="A77" s="991"/>
      <c r="B77" s="991"/>
      <c r="C77" s="991"/>
      <c r="D77" s="991"/>
      <c r="E77" s="991"/>
      <c r="F77" s="1640"/>
      <c r="G77" s="1640"/>
      <c r="H77" s="355"/>
      <c r="N77" s="1645"/>
      <c r="O77" s="1645"/>
      <c r="P77" s="1645"/>
      <c r="Q77" s="1645"/>
      <c r="R77" s="1645"/>
      <c r="S77" s="1645"/>
      <c r="T77" s="1370"/>
      <c r="V77" s="1370"/>
      <c r="W77" s="1640"/>
      <c r="X77" s="1640"/>
      <c r="Y77" s="1370"/>
      <c r="Z77" s="1370"/>
      <c r="AA77" s="1370"/>
      <c r="AB77" s="1370"/>
      <c r="AC77" s="1640"/>
      <c r="AD77" s="1370"/>
      <c r="AE77" s="1370"/>
      <c r="AF77" s="548"/>
      <c r="AG77" s="1370"/>
      <c r="AH77" s="1370"/>
      <c r="AI77" s="1370"/>
      <c r="AJ77" s="1370"/>
      <c r="AK77" s="1370"/>
      <c r="AL77" s="1636"/>
      <c r="AM77" s="626"/>
      <c r="AN77" s="626"/>
      <c r="AO77" s="626"/>
      <c r="AP77" s="626"/>
      <c r="AQ77" s="1645">
        <v>11</v>
      </c>
    </row>
    <row s="1645" customFormat="1" customHeight="1" ht="11.549999999999999">
      <c r="A78" s="991"/>
      <c r="B78" s="991"/>
      <c r="C78" s="991"/>
      <c r="D78" s="991"/>
      <c r="E78" s="991"/>
      <c r="F78" s="1640"/>
      <c r="G78" s="1640"/>
      <c r="H78" s="355"/>
      <c r="N78" s="1645"/>
      <c r="O78" s="1645"/>
      <c r="P78" s="1645"/>
      <c r="Q78" s="1645"/>
      <c r="R78" s="1645"/>
      <c r="S78" s="1645"/>
      <c r="T78" s="1370"/>
      <c r="V78" s="1370"/>
      <c r="W78" s="1640"/>
      <c r="X78" s="1640"/>
      <c r="Y78" s="1370"/>
      <c r="Z78" s="1370"/>
      <c r="AA78" s="1370"/>
      <c r="AB78" s="1370"/>
      <c r="AC78" s="1640"/>
      <c r="AD78" s="1370"/>
      <c r="AE78" s="1370"/>
      <c r="AF78" s="548"/>
      <c r="AG78" s="1370"/>
      <c r="AH78" s="1370"/>
      <c r="AI78" s="1370"/>
      <c r="AJ78" s="1370"/>
      <c r="AK78" s="1370"/>
      <c r="AL78" s="1636"/>
      <c r="AM78" s="626"/>
      <c r="AN78" s="626"/>
      <c r="AO78" s="626"/>
      <c r="AP78" s="626"/>
      <c r="AQ78" s="1645">
        <v>11</v>
      </c>
    </row>
    <row s="1645" customFormat="1" customHeight="1" ht="11.549999999999999">
      <c r="A79" s="991"/>
      <c r="B79" s="991"/>
      <c r="C79" s="991"/>
      <c r="D79" s="991"/>
      <c r="E79" s="991"/>
      <c r="F79" s="1640"/>
      <c r="G79" s="1640"/>
      <c r="H79" s="355"/>
      <c r="N79" s="1645"/>
      <c r="O79" s="1645"/>
      <c r="P79" s="1645"/>
      <c r="Q79" s="1645"/>
      <c r="R79" s="1645"/>
      <c r="S79" s="1645"/>
      <c r="T79" s="1370"/>
      <c r="V79" s="1370"/>
      <c r="W79" s="1640"/>
      <c r="X79" s="1640"/>
      <c r="Y79" s="1370"/>
      <c r="Z79" s="1370"/>
      <c r="AA79" s="1370"/>
      <c r="AB79" s="1370"/>
      <c r="AC79" s="1640"/>
      <c r="AD79" s="1370"/>
      <c r="AE79" s="1370"/>
      <c r="AF79" s="548"/>
      <c r="AG79" s="1370"/>
      <c r="AH79" s="1370"/>
      <c r="AI79" s="1370"/>
      <c r="AJ79" s="1370"/>
      <c r="AK79" s="1370"/>
      <c r="AL79" s="1636"/>
      <c r="AM79" s="626"/>
      <c r="AN79" s="626"/>
      <c r="AO79" s="626"/>
      <c r="AP79" s="626"/>
      <c r="AQ79" s="1645">
        <v>11</v>
      </c>
    </row>
    <row s="1645" customFormat="1" customHeight="1" ht="11.549999999999999">
      <c r="A80" s="991"/>
      <c r="B80" s="991"/>
      <c r="C80" s="991"/>
      <c r="D80" s="991"/>
      <c r="E80" s="991"/>
      <c r="F80" s="1640"/>
      <c r="G80" s="1640"/>
      <c r="H80" s="355"/>
      <c r="N80" s="1645"/>
      <c r="O80" s="1645"/>
      <c r="P80" s="1645"/>
      <c r="Q80" s="1645"/>
      <c r="R80" s="1645"/>
      <c r="S80" s="1645"/>
      <c r="T80" s="1370"/>
      <c r="V80" s="1370"/>
      <c r="W80" s="1640"/>
      <c r="X80" s="1640"/>
      <c r="Y80" s="1370"/>
      <c r="Z80" s="1370"/>
      <c r="AA80" s="1370"/>
      <c r="AB80" s="1370"/>
      <c r="AC80" s="1640"/>
      <c r="AD80" s="1370"/>
      <c r="AE80" s="1370"/>
      <c r="AF80" s="548"/>
      <c r="AG80" s="1370"/>
      <c r="AH80" s="1370"/>
      <c r="AI80" s="1370"/>
      <c r="AJ80" s="1370"/>
      <c r="AK80" s="1370"/>
      <c r="AL80" s="1636"/>
      <c r="AM80" s="626"/>
      <c r="AN80" s="626"/>
      <c r="AO80" s="626"/>
      <c r="AP80" s="626"/>
      <c r="AQ80" s="1645">
        <v>11</v>
      </c>
    </row>
    <row s="1645" customFormat="1" customHeight="1" ht="11.549999999999999">
      <c r="A81" s="991"/>
      <c r="B81" s="991"/>
      <c r="C81" s="991"/>
      <c r="D81" s="991"/>
      <c r="E81" s="991"/>
      <c r="F81" s="1640"/>
      <c r="G81" s="1640"/>
      <c r="H81" s="355"/>
      <c r="N81" s="1645"/>
      <c r="O81" s="1645"/>
      <c r="P81" s="1645"/>
      <c r="Q81" s="1645"/>
      <c r="R81" s="1645"/>
      <c r="S81" s="1645"/>
      <c r="T81" s="1370"/>
      <c r="V81" s="1370"/>
      <c r="W81" s="1640"/>
      <c r="X81" s="1640"/>
      <c r="Y81" s="1370"/>
      <c r="Z81" s="1370"/>
      <c r="AA81" s="1370"/>
      <c r="AB81" s="1370"/>
      <c r="AC81" s="1640"/>
      <c r="AD81" s="1370"/>
      <c r="AE81" s="1370"/>
      <c r="AF81" s="548"/>
      <c r="AG81" s="1370"/>
      <c r="AH81" s="1370"/>
      <c r="AI81" s="1370"/>
      <c r="AJ81" s="1370"/>
      <c r="AK81" s="1370"/>
      <c r="AL81" s="1636"/>
      <c r="AM81" s="626"/>
      <c r="AN81" s="626"/>
      <c r="AO81" s="626"/>
      <c r="AP81" s="626"/>
      <c r="AQ81" s="1645">
        <v>11</v>
      </c>
    </row>
    <row s="1645" customFormat="1" customHeight="1" ht="11.549999999999999">
      <c r="A82" s="991"/>
      <c r="B82" s="991"/>
      <c r="C82" s="991"/>
      <c r="D82" s="991"/>
      <c r="E82" s="991"/>
      <c r="F82" s="1640"/>
      <c r="G82" s="1640"/>
      <c r="H82" s="355"/>
      <c r="N82" s="1645"/>
      <c r="O82" s="1645"/>
      <c r="P82" s="1645"/>
      <c r="Q82" s="1645"/>
      <c r="R82" s="1645"/>
      <c r="S82" s="1645"/>
      <c r="T82" s="1370"/>
      <c r="V82" s="1370"/>
      <c r="W82" s="1640"/>
      <c r="X82" s="1640"/>
      <c r="Y82" s="1370"/>
      <c r="Z82" s="1370"/>
      <c r="AA82" s="1370"/>
      <c r="AB82" s="1370"/>
      <c r="AC82" s="1640"/>
      <c r="AD82" s="1370"/>
      <c r="AE82" s="1370"/>
      <c r="AF82" s="548"/>
      <c r="AG82" s="1370"/>
      <c r="AH82" s="1370"/>
      <c r="AI82" s="1370"/>
      <c r="AJ82" s="1370"/>
      <c r="AK82" s="1370"/>
      <c r="AL82" s="1636"/>
      <c r="AM82" s="626"/>
      <c r="AN82" s="626"/>
      <c r="AO82" s="626"/>
      <c r="AP82" s="626"/>
      <c r="AQ82" s="1645">
        <v>11</v>
      </c>
    </row>
    <row s="1645" customFormat="1" customHeight="1" ht="11.549999999999999">
      <c r="A83" s="991"/>
      <c r="B83" s="991"/>
      <c r="C83" s="991"/>
      <c r="D83" s="991"/>
      <c r="E83" s="991"/>
      <c r="F83" s="1640"/>
      <c r="G83" s="1640"/>
      <c r="H83" s="355"/>
      <c r="N83" s="1645"/>
      <c r="O83" s="1645"/>
      <c r="P83" s="1645"/>
      <c r="Q83" s="1645"/>
      <c r="R83" s="1645"/>
      <c r="S83" s="1645"/>
      <c r="T83" s="1370"/>
      <c r="V83" s="1370"/>
      <c r="W83" s="1640"/>
      <c r="X83" s="1640"/>
      <c r="Y83" s="1370"/>
      <c r="Z83" s="1370"/>
      <c r="AA83" s="1370"/>
      <c r="AB83" s="1370"/>
      <c r="AC83" s="1640"/>
      <c r="AD83" s="1370"/>
      <c r="AE83" s="1370"/>
      <c r="AF83" s="548"/>
      <c r="AG83" s="1370"/>
      <c r="AH83" s="1370"/>
      <c r="AI83" s="1370"/>
      <c r="AJ83" s="1370"/>
      <c r="AK83" s="1370"/>
      <c r="AL83" s="1636"/>
      <c r="AM83" s="626"/>
      <c r="AN83" s="626"/>
      <c r="AO83" s="626"/>
      <c r="AP83" s="626"/>
      <c r="AQ83" s="1645">
        <v>11</v>
      </c>
    </row>
    <row s="1645" customFormat="1" customHeight="1" ht="11.549999999999999">
      <c r="A84" s="991"/>
      <c r="B84" s="991"/>
      <c r="C84" s="991"/>
      <c r="D84" s="991"/>
      <c r="E84" s="991"/>
      <c r="F84" s="1640"/>
      <c r="G84" s="1640"/>
      <c r="H84" s="355"/>
      <c r="N84" s="1645"/>
      <c r="O84" s="1645"/>
      <c r="P84" s="1645"/>
      <c r="Q84" s="1645"/>
      <c r="R84" s="1645"/>
      <c r="S84" s="1645"/>
      <c r="T84" s="1370"/>
      <c r="V84" s="1370"/>
      <c r="W84" s="1640"/>
      <c r="X84" s="1640"/>
      <c r="Y84" s="1370"/>
      <c r="Z84" s="1370"/>
      <c r="AA84" s="1370"/>
      <c r="AB84" s="1370"/>
      <c r="AC84" s="1640"/>
      <c r="AD84" s="1370"/>
      <c r="AE84" s="1370"/>
      <c r="AF84" s="548"/>
      <c r="AG84" s="1370"/>
      <c r="AH84" s="1370"/>
      <c r="AI84" s="1370"/>
      <c r="AJ84" s="1370"/>
      <c r="AK84" s="1370"/>
      <c r="AL84" s="1636"/>
      <c r="AM84" s="626"/>
      <c r="AN84" s="626"/>
      <c r="AO84" s="626"/>
      <c r="AP84" s="626"/>
      <c r="AQ84" s="1645">
        <v>11</v>
      </c>
    </row>
    <row s="1645" customFormat="1" customHeight="1" ht="11.549999999999999">
      <c r="A85" s="991"/>
      <c r="B85" s="991"/>
      <c r="C85" s="991"/>
      <c r="D85" s="991"/>
      <c r="E85" s="991"/>
      <c r="F85" s="1640"/>
      <c r="G85" s="1640"/>
      <c r="H85" s="355"/>
      <c r="N85" s="1645"/>
      <c r="O85" s="1645"/>
      <c r="P85" s="1645"/>
      <c r="Q85" s="1645"/>
      <c r="R85" s="1645"/>
      <c r="S85" s="1645"/>
      <c r="T85" s="1370"/>
      <c r="V85" s="1370"/>
      <c r="W85" s="1640"/>
      <c r="X85" s="1640"/>
      <c r="Y85" s="1370"/>
      <c r="Z85" s="1370"/>
      <c r="AA85" s="1370"/>
      <c r="AB85" s="1370"/>
      <c r="AC85" s="1640"/>
      <c r="AD85" s="1370"/>
      <c r="AE85" s="1370"/>
      <c r="AF85" s="548"/>
      <c r="AG85" s="1370"/>
      <c r="AH85" s="1370"/>
      <c r="AI85" s="1370"/>
      <c r="AJ85" s="1370"/>
      <c r="AK85" s="1370"/>
      <c r="AL85" s="1636"/>
      <c r="AM85" s="626"/>
      <c r="AN85" s="626"/>
      <c r="AO85" s="626"/>
      <c r="AP85" s="626"/>
      <c r="AQ85" s="1645">
        <v>11</v>
      </c>
    </row>
    <row s="1645" customFormat="1" customHeight="1" ht="11.549999999999999">
      <c r="A86" s="991"/>
      <c r="B86" s="991"/>
      <c r="C86" s="991"/>
      <c r="D86" s="991"/>
      <c r="E86" s="991"/>
      <c r="F86" s="1640"/>
      <c r="G86" s="1640"/>
      <c r="H86" s="355"/>
      <c r="N86" s="1645"/>
      <c r="O86" s="1645"/>
      <c r="P86" s="1645"/>
      <c r="Q86" s="1645"/>
      <c r="R86" s="1645"/>
      <c r="S86" s="1645"/>
      <c r="T86" s="1370"/>
      <c r="V86" s="1370"/>
      <c r="W86" s="1640"/>
      <c r="X86" s="1640"/>
      <c r="Y86" s="1370"/>
      <c r="Z86" s="1370"/>
      <c r="AA86" s="1370"/>
      <c r="AB86" s="1370"/>
      <c r="AC86" s="1640"/>
      <c r="AD86" s="1370"/>
      <c r="AE86" s="1370"/>
      <c r="AF86" s="548"/>
      <c r="AG86" s="1370"/>
      <c r="AH86" s="1370"/>
      <c r="AI86" s="1370"/>
      <c r="AJ86" s="1370"/>
      <c r="AK86" s="1370"/>
      <c r="AL86" s="1636"/>
      <c r="AM86" s="626"/>
      <c r="AN86" s="626"/>
      <c r="AO86" s="626"/>
      <c r="AP86" s="626"/>
      <c r="AQ86" s="1645">
        <v>11</v>
      </c>
    </row>
    <row s="1645" customFormat="1" customHeight="1" ht="11.549999999999999">
      <c r="A87" s="991"/>
      <c r="B87" s="991"/>
      <c r="C87" s="991"/>
      <c r="D87" s="991"/>
      <c r="E87" s="991"/>
      <c r="F87" s="1640"/>
      <c r="G87" s="1640"/>
      <c r="H87" s="355"/>
      <c r="N87" s="1645"/>
      <c r="O87" s="1645"/>
      <c r="P87" s="1645"/>
      <c r="Q87" s="1645"/>
      <c r="R87" s="1645"/>
      <c r="S87" s="1645"/>
      <c r="T87" s="1370"/>
      <c r="V87" s="1370"/>
      <c r="W87" s="1640"/>
      <c r="X87" s="1640"/>
      <c r="Y87" s="1370"/>
      <c r="Z87" s="1370"/>
      <c r="AA87" s="1370"/>
      <c r="AB87" s="1370"/>
      <c r="AC87" s="1640"/>
      <c r="AD87" s="1370"/>
      <c r="AE87" s="1370"/>
      <c r="AF87" s="548"/>
      <c r="AG87" s="1370"/>
      <c r="AH87" s="1370"/>
      <c r="AI87" s="1370"/>
      <c r="AJ87" s="1370"/>
      <c r="AK87" s="1370"/>
      <c r="AL87" s="1636"/>
      <c r="AM87" s="626"/>
      <c r="AN87" s="626"/>
      <c r="AO87" s="626"/>
      <c r="AP87" s="626"/>
      <c r="AQ87" s="1645">
        <v>11</v>
      </c>
    </row>
    <row s="1645" customFormat="1" customHeight="1" ht="11.549999999999999">
      <c r="A88" s="991"/>
      <c r="B88" s="991"/>
      <c r="C88" s="991"/>
      <c r="D88" s="991"/>
      <c r="E88" s="991"/>
      <c r="F88" s="1640"/>
      <c r="G88" s="1640"/>
      <c r="H88" s="355"/>
      <c r="N88" s="1645"/>
      <c r="O88" s="1645"/>
      <c r="P88" s="1645"/>
      <c r="Q88" s="1645"/>
      <c r="R88" s="1645"/>
      <c r="S88" s="1645"/>
      <c r="T88" s="1370"/>
      <c r="V88" s="1370"/>
      <c r="W88" s="1640"/>
      <c r="X88" s="1640"/>
      <c r="Y88" s="1370"/>
      <c r="Z88" s="1370"/>
      <c r="AA88" s="1370"/>
      <c r="AB88" s="1370"/>
      <c r="AC88" s="1640"/>
      <c r="AD88" s="1370"/>
      <c r="AE88" s="1370"/>
      <c r="AF88" s="548"/>
      <c r="AG88" s="1370"/>
      <c r="AH88" s="1370"/>
      <c r="AI88" s="1370"/>
      <c r="AJ88" s="1370"/>
      <c r="AK88" s="1370"/>
      <c r="AL88" s="1636"/>
      <c r="AM88" s="626"/>
      <c r="AN88" s="626"/>
      <c r="AO88" s="626"/>
      <c r="AP88" s="626"/>
      <c r="AQ88" s="1645">
        <v>11</v>
      </c>
    </row>
    <row s="1645" customFormat="1" customHeight="1" ht="11.549999999999999">
      <c r="A89" s="991"/>
      <c r="B89" s="991"/>
      <c r="C89" s="991"/>
      <c r="D89" s="991"/>
      <c r="E89" s="991"/>
      <c r="F89" s="1640"/>
      <c r="G89" s="1640"/>
      <c r="H89" s="355"/>
      <c r="N89" s="1645"/>
      <c r="O89" s="1645"/>
      <c r="P89" s="1645"/>
      <c r="Q89" s="1645"/>
      <c r="R89" s="1645"/>
      <c r="S89" s="1645"/>
      <c r="T89" s="1370"/>
      <c r="V89" s="1370"/>
      <c r="W89" s="1640"/>
      <c r="X89" s="1640"/>
      <c r="Y89" s="1370"/>
      <c r="Z89" s="1370"/>
      <c r="AA89" s="1370"/>
      <c r="AB89" s="1370"/>
      <c r="AC89" s="1640"/>
      <c r="AD89" s="1370"/>
      <c r="AE89" s="1370"/>
      <c r="AF89" s="548"/>
      <c r="AG89" s="1370"/>
      <c r="AH89" s="1370"/>
      <c r="AI89" s="1370"/>
      <c r="AJ89" s="1370"/>
      <c r="AK89" s="1370"/>
      <c r="AL89" s="1636"/>
      <c r="AM89" s="626"/>
      <c r="AN89" s="626"/>
      <c r="AO89" s="626"/>
      <c r="AP89" s="626"/>
      <c r="AQ89" s="1645">
        <v>11</v>
      </c>
    </row>
    <row s="1645" customFormat="1" customHeight="1" ht="11.549999999999999">
      <c r="A90" s="991"/>
      <c r="B90" s="991"/>
      <c r="C90" s="991"/>
      <c r="D90" s="991"/>
      <c r="E90" s="991"/>
      <c r="F90" s="1640"/>
      <c r="G90" s="1640"/>
      <c r="H90" s="355"/>
      <c r="N90" s="1645"/>
      <c r="O90" s="1645"/>
      <c r="P90" s="1645"/>
      <c r="Q90" s="1645"/>
      <c r="R90" s="1645"/>
      <c r="S90" s="1645"/>
      <c r="T90" s="1370"/>
      <c r="V90" s="1370"/>
      <c r="W90" s="1640"/>
      <c r="X90" s="1640"/>
      <c r="Y90" s="1370"/>
      <c r="Z90" s="1370"/>
      <c r="AA90" s="1370"/>
      <c r="AB90" s="1370"/>
      <c r="AC90" s="1640"/>
      <c r="AD90" s="1370"/>
      <c r="AE90" s="1370"/>
      <c r="AF90" s="548"/>
      <c r="AG90" s="1370"/>
      <c r="AH90" s="1370"/>
      <c r="AI90" s="1370"/>
      <c r="AJ90" s="1370"/>
      <c r="AK90" s="1370"/>
      <c r="AL90" s="1636"/>
      <c r="AM90" s="626"/>
      <c r="AN90" s="626"/>
      <c r="AO90" s="626"/>
      <c r="AP90" s="626"/>
      <c r="AQ90" s="1645">
        <v>11</v>
      </c>
    </row>
    <row s="1645" customFormat="1" customHeight="1" ht="11.549999999999999">
      <c r="A91" s="991"/>
      <c r="B91" s="991"/>
      <c r="C91" s="991"/>
      <c r="D91" s="991"/>
      <c r="E91" s="991"/>
      <c r="F91" s="1640"/>
      <c r="G91" s="1640"/>
      <c r="H91" s="355"/>
      <c r="N91" s="1645"/>
      <c r="O91" s="1645"/>
      <c r="P91" s="1645"/>
      <c r="Q91" s="1645"/>
      <c r="R91" s="1645"/>
      <c r="S91" s="1645"/>
      <c r="T91" s="1370"/>
      <c r="V91" s="1370"/>
      <c r="W91" s="1640"/>
      <c r="X91" s="1640"/>
      <c r="Y91" s="1370"/>
      <c r="Z91" s="1370"/>
      <c r="AA91" s="1370"/>
      <c r="AB91" s="1370"/>
      <c r="AC91" s="1640"/>
      <c r="AD91" s="1370"/>
      <c r="AE91" s="1370"/>
      <c r="AF91" s="548"/>
      <c r="AG91" s="1370"/>
      <c r="AH91" s="1370"/>
      <c r="AI91" s="1370"/>
      <c r="AJ91" s="1370"/>
      <c r="AK91" s="1370"/>
      <c r="AL91" s="1636"/>
      <c r="AM91" s="626"/>
      <c r="AN91" s="626"/>
      <c r="AO91" s="626"/>
      <c r="AP91" s="626"/>
      <c r="AQ91" s="1645">
        <v>11</v>
      </c>
    </row>
    <row s="1645" customFormat="1" customHeight="1" ht="11.549999999999999">
      <c r="A92" s="991"/>
      <c r="B92" s="991"/>
      <c r="C92" s="991"/>
      <c r="D92" s="991"/>
      <c r="E92" s="991"/>
      <c r="F92" s="1640"/>
      <c r="G92" s="1640"/>
      <c r="H92" s="355"/>
      <c r="N92" s="1645"/>
      <c r="O92" s="1645"/>
      <c r="P92" s="1645"/>
      <c r="Q92" s="1645"/>
      <c r="R92" s="1645"/>
      <c r="S92" s="1645"/>
      <c r="T92" s="1370"/>
      <c r="V92" s="1370"/>
      <c r="W92" s="1640"/>
      <c r="X92" s="1640"/>
      <c r="Y92" s="1370"/>
      <c r="Z92" s="1370"/>
      <c r="AA92" s="1370"/>
      <c r="AB92" s="1370"/>
      <c r="AC92" s="1640"/>
      <c r="AD92" s="1370"/>
      <c r="AE92" s="1370"/>
      <c r="AF92" s="548"/>
      <c r="AG92" s="1370"/>
      <c r="AH92" s="1370"/>
      <c r="AI92" s="1370"/>
      <c r="AJ92" s="1370"/>
      <c r="AK92" s="1370"/>
      <c r="AL92" s="1636"/>
      <c r="AM92" s="626"/>
      <c r="AN92" s="626"/>
      <c r="AO92" s="626"/>
      <c r="AP92" s="626"/>
      <c r="AQ92" s="1645">
        <v>11</v>
      </c>
    </row>
    <row s="1645" customFormat="1" customHeight="1" ht="11.549999999999999">
      <c r="A93" s="991"/>
      <c r="B93" s="991"/>
      <c r="C93" s="991"/>
      <c r="D93" s="991"/>
      <c r="E93" s="991"/>
      <c r="F93" s="1640"/>
      <c r="G93" s="1640"/>
      <c r="H93" s="355"/>
      <c r="N93" s="1645"/>
      <c r="O93" s="1645"/>
      <c r="P93" s="1645"/>
      <c r="Q93" s="1645"/>
      <c r="R93" s="1645"/>
      <c r="S93" s="1645"/>
      <c r="T93" s="1370"/>
      <c r="V93" s="1370"/>
      <c r="W93" s="1640"/>
      <c r="X93" s="1640"/>
      <c r="Y93" s="1370"/>
      <c r="Z93" s="1370"/>
      <c r="AA93" s="1370"/>
      <c r="AB93" s="1370"/>
      <c r="AC93" s="1640"/>
      <c r="AD93" s="1370"/>
      <c r="AE93" s="1370"/>
      <c r="AF93" s="548"/>
      <c r="AG93" s="1370"/>
      <c r="AH93" s="1370"/>
      <c r="AI93" s="1370"/>
      <c r="AJ93" s="1370"/>
      <c r="AK93" s="1370"/>
      <c r="AL93" s="1636"/>
      <c r="AM93" s="626"/>
      <c r="AN93" s="626"/>
      <c r="AO93" s="626"/>
      <c r="AP93" s="626"/>
      <c r="AQ93" s="1645">
        <v>11</v>
      </c>
    </row>
    <row s="1645" customFormat="1" customHeight="1" ht="11.549999999999999">
      <c r="A94" s="991"/>
      <c r="B94" s="991"/>
      <c r="C94" s="991"/>
      <c r="D94" s="991"/>
      <c r="E94" s="991"/>
      <c r="F94" s="1640"/>
      <c r="G94" s="1640"/>
      <c r="H94" s="355"/>
      <c r="N94" s="1645"/>
      <c r="O94" s="1645"/>
      <c r="P94" s="1645"/>
      <c r="Q94" s="1645"/>
      <c r="R94" s="1645"/>
      <c r="S94" s="1645"/>
      <c r="T94" s="1370"/>
      <c r="V94" s="1370"/>
      <c r="W94" s="1640"/>
      <c r="X94" s="1640"/>
      <c r="Y94" s="1370"/>
      <c r="Z94" s="1370"/>
      <c r="AA94" s="1370"/>
      <c r="AB94" s="1370"/>
      <c r="AC94" s="1640"/>
      <c r="AD94" s="1370"/>
      <c r="AE94" s="1370"/>
      <c r="AF94" s="548"/>
      <c r="AG94" s="1370"/>
      <c r="AH94" s="1370"/>
      <c r="AI94" s="1370"/>
      <c r="AJ94" s="1370"/>
      <c r="AK94" s="1370"/>
      <c r="AL94" s="1636"/>
      <c r="AM94" s="626"/>
      <c r="AN94" s="626"/>
      <c r="AO94" s="626"/>
      <c r="AP94" s="626"/>
      <c r="AQ94" s="1645">
        <v>11</v>
      </c>
    </row>
    <row s="1645" customFormat="1" customHeight="1" ht="11.549999999999999">
      <c r="A95" s="991"/>
      <c r="B95" s="991"/>
      <c r="C95" s="991"/>
      <c r="D95" s="991"/>
      <c r="E95" s="991"/>
      <c r="F95" s="1640"/>
      <c r="G95" s="1640"/>
      <c r="H95" s="355"/>
      <c r="N95" s="1645"/>
      <c r="O95" s="1645"/>
      <c r="P95" s="1645"/>
      <c r="Q95" s="1645"/>
      <c r="R95" s="1645"/>
      <c r="S95" s="1645"/>
      <c r="T95" s="1370"/>
      <c r="V95" s="1370"/>
      <c r="W95" s="1640"/>
      <c r="X95" s="1640"/>
      <c r="Y95" s="1370"/>
      <c r="Z95" s="1370"/>
      <c r="AA95" s="1370"/>
      <c r="AB95" s="1370"/>
      <c r="AC95" s="1640"/>
      <c r="AD95" s="1370"/>
      <c r="AE95" s="1370"/>
      <c r="AF95" s="548"/>
      <c r="AG95" s="1370"/>
      <c r="AH95" s="1370"/>
      <c r="AI95" s="1370"/>
      <c r="AJ95" s="1370"/>
      <c r="AK95" s="1370"/>
      <c r="AL95" s="1636"/>
      <c r="AM95" s="626"/>
      <c r="AN95" s="626"/>
      <c r="AO95" s="626"/>
      <c r="AP95" s="626"/>
      <c r="AQ95" s="1645">
        <v>11</v>
      </c>
    </row>
    <row s="1645" customFormat="1" customHeight="1" ht="11.549999999999999">
      <c r="A96" s="991"/>
      <c r="B96" s="991"/>
      <c r="C96" s="991"/>
      <c r="D96" s="991"/>
      <c r="E96" s="991"/>
      <c r="F96" s="1640"/>
      <c r="G96" s="1640"/>
      <c r="H96" s="355"/>
      <c r="N96" s="1645"/>
      <c r="O96" s="1645"/>
      <c r="P96" s="1645"/>
      <c r="Q96" s="1645"/>
      <c r="R96" s="1645"/>
      <c r="S96" s="1645"/>
      <c r="T96" s="1370"/>
      <c r="V96" s="1370"/>
      <c r="W96" s="1640"/>
      <c r="X96" s="1640"/>
      <c r="Y96" s="1370"/>
      <c r="Z96" s="1370"/>
      <c r="AA96" s="1370"/>
      <c r="AB96" s="1370"/>
      <c r="AC96" s="1640"/>
      <c r="AD96" s="1370"/>
      <c r="AE96" s="1370"/>
      <c r="AF96" s="548"/>
      <c r="AG96" s="1370"/>
      <c r="AH96" s="1370"/>
      <c r="AI96" s="1370"/>
      <c r="AJ96" s="1370"/>
      <c r="AK96" s="1370"/>
      <c r="AL96" s="1636"/>
      <c r="AM96" s="626"/>
      <c r="AN96" s="626"/>
      <c r="AO96" s="626"/>
      <c r="AP96" s="626"/>
      <c r="AQ96" s="1645">
        <v>11</v>
      </c>
    </row>
    <row s="1645" customFormat="1" customHeight="1" ht="11.549999999999999">
      <c r="A97" s="991"/>
      <c r="B97" s="991"/>
      <c r="C97" s="991"/>
      <c r="D97" s="991"/>
      <c r="E97" s="991"/>
      <c r="F97" s="1640"/>
      <c r="G97" s="1640"/>
      <c r="H97" s="355"/>
      <c r="N97" s="1645"/>
      <c r="O97" s="1645"/>
      <c r="P97" s="1645"/>
      <c r="Q97" s="1645"/>
      <c r="R97" s="1645"/>
      <c r="S97" s="1645"/>
      <c r="T97" s="1370"/>
      <c r="V97" s="1370"/>
      <c r="W97" s="1640"/>
      <c r="X97" s="1640"/>
      <c r="Y97" s="1370"/>
      <c r="Z97" s="1370"/>
      <c r="AA97" s="1370"/>
      <c r="AB97" s="1370"/>
      <c r="AC97" s="1640"/>
      <c r="AD97" s="1370"/>
      <c r="AE97" s="1370"/>
      <c r="AF97" s="548"/>
      <c r="AG97" s="1370"/>
      <c r="AH97" s="1370"/>
      <c r="AI97" s="1370"/>
      <c r="AJ97" s="1370"/>
      <c r="AK97" s="1370"/>
      <c r="AL97" s="1636"/>
      <c r="AM97" s="626"/>
      <c r="AN97" s="626"/>
      <c r="AO97" s="626"/>
      <c r="AP97" s="626"/>
      <c r="AQ97" s="1645">
        <v>11</v>
      </c>
    </row>
    <row s="1645" customFormat="1" customHeight="1" ht="11.549999999999999">
      <c r="A98" s="991"/>
      <c r="B98" s="991"/>
      <c r="C98" s="991"/>
      <c r="D98" s="991"/>
      <c r="E98" s="991"/>
      <c r="F98" s="1640"/>
      <c r="G98" s="1640"/>
      <c r="H98" s="355"/>
      <c r="N98" s="1645"/>
      <c r="O98" s="1645"/>
      <c r="P98" s="1645"/>
      <c r="Q98" s="1645"/>
      <c r="R98" s="1645"/>
      <c r="S98" s="1645"/>
      <c r="T98" s="1370"/>
      <c r="V98" s="1370"/>
      <c r="W98" s="1640"/>
      <c r="X98" s="1640"/>
      <c r="Y98" s="1370"/>
      <c r="Z98" s="1370"/>
      <c r="AA98" s="1370"/>
      <c r="AB98" s="1370"/>
      <c r="AC98" s="1640"/>
      <c r="AD98" s="1370"/>
      <c r="AE98" s="1370"/>
      <c r="AF98" s="548"/>
      <c r="AG98" s="1370"/>
      <c r="AH98" s="1370"/>
      <c r="AI98" s="1370"/>
      <c r="AJ98" s="1370"/>
      <c r="AK98" s="1370"/>
      <c r="AL98" s="1636"/>
      <c r="AM98" s="626"/>
      <c r="AN98" s="626"/>
      <c r="AO98" s="626"/>
      <c r="AP98" s="626"/>
      <c r="AQ98" s="1645">
        <v>11</v>
      </c>
    </row>
    <row s="1645" customFormat="1" customHeight="1" ht="11.549999999999999">
      <c r="A99" s="991"/>
      <c r="B99" s="991"/>
      <c r="C99" s="991"/>
      <c r="D99" s="991"/>
      <c r="E99" s="991"/>
      <c r="F99" s="1640"/>
      <c r="G99" s="1640"/>
      <c r="H99" s="355"/>
      <c r="N99" s="1645"/>
      <c r="O99" s="1645"/>
      <c r="P99" s="1645"/>
      <c r="Q99" s="1645"/>
      <c r="R99" s="1645"/>
      <c r="S99" s="1645"/>
      <c r="T99" s="1370"/>
      <c r="V99" s="1370"/>
      <c r="W99" s="1640"/>
      <c r="X99" s="1640"/>
      <c r="Y99" s="1370"/>
      <c r="Z99" s="1370"/>
      <c r="AA99" s="1370"/>
      <c r="AB99" s="1370"/>
      <c r="AC99" s="1640"/>
      <c r="AD99" s="1370"/>
      <c r="AE99" s="1370"/>
      <c r="AF99" s="548"/>
      <c r="AG99" s="1370"/>
      <c r="AH99" s="1370"/>
      <c r="AI99" s="1370"/>
      <c r="AJ99" s="1370"/>
      <c r="AK99" s="1370"/>
      <c r="AL99" s="1636"/>
      <c r="AM99" s="626"/>
      <c r="AN99" s="626"/>
      <c r="AO99" s="626"/>
      <c r="AP99" s="626"/>
      <c r="AQ99" s="1645">
        <v>11</v>
      </c>
    </row>
    <row s="1645" customFormat="1" customHeight="1" ht="11.549999999999999">
      <c r="A100" s="991"/>
      <c r="B100" s="991"/>
      <c r="C100" s="991"/>
      <c r="D100" s="991"/>
      <c r="E100" s="991"/>
      <c r="F100" s="1640"/>
      <c r="G100" s="1640"/>
      <c r="H100" s="355"/>
      <c r="N100" s="1645"/>
      <c r="O100" s="1645"/>
      <c r="P100" s="1645"/>
      <c r="Q100" s="1645"/>
      <c r="R100" s="1645"/>
      <c r="S100" s="1645"/>
      <c r="T100" s="1370"/>
      <c r="V100" s="1370"/>
      <c r="W100" s="1640"/>
      <c r="X100" s="1640"/>
      <c r="Y100" s="1370"/>
      <c r="Z100" s="1370"/>
      <c r="AA100" s="1370"/>
      <c r="AB100" s="1370"/>
      <c r="AC100" s="1640"/>
      <c r="AD100" s="1370"/>
      <c r="AE100" s="1370"/>
      <c r="AF100" s="548"/>
      <c r="AG100" s="1370"/>
      <c r="AH100" s="1370"/>
      <c r="AI100" s="1370"/>
      <c r="AJ100" s="1370"/>
      <c r="AK100" s="1370"/>
      <c r="AL100" s="1636"/>
      <c r="AM100" s="626"/>
      <c r="AN100" s="626"/>
      <c r="AO100" s="626"/>
      <c r="AP100" s="626"/>
      <c r="AQ100" s="1645">
        <v>11</v>
      </c>
    </row>
    <row s="1645" customFormat="1" customHeight="1" ht="11.549999999999999">
      <c r="A101" s="991"/>
      <c r="B101" s="991"/>
      <c r="C101" s="991"/>
      <c r="D101" s="991"/>
      <c r="E101" s="991"/>
      <c r="F101" s="1640"/>
      <c r="G101" s="1640"/>
      <c r="H101" s="355"/>
      <c r="N101" s="1645"/>
      <c r="O101" s="1645"/>
      <c r="P101" s="1645"/>
      <c r="Q101" s="1645"/>
      <c r="R101" s="1645"/>
      <c r="S101" s="1645"/>
      <c r="T101" s="1370"/>
      <c r="V101" s="1370"/>
      <c r="W101" s="1640"/>
      <c r="X101" s="1640"/>
      <c r="Y101" s="1370"/>
      <c r="Z101" s="1370"/>
      <c r="AA101" s="1370"/>
      <c r="AB101" s="1370"/>
      <c r="AC101" s="1640"/>
      <c r="AD101" s="1370"/>
      <c r="AE101" s="1370"/>
      <c r="AF101" s="548"/>
      <c r="AG101" s="1370"/>
      <c r="AH101" s="1370"/>
      <c r="AI101" s="1370"/>
      <c r="AJ101" s="1370"/>
      <c r="AK101" s="1370"/>
      <c r="AL101" s="1636"/>
      <c r="AM101" s="626"/>
      <c r="AN101" s="626"/>
      <c r="AO101" s="626"/>
      <c r="AP101" s="626"/>
      <c r="AQ101" s="1645">
        <v>11</v>
      </c>
    </row>
    <row s="1645" customFormat="1" customHeight="1" ht="11.549999999999999">
      <c r="A102" s="991"/>
      <c r="B102" s="991"/>
      <c r="C102" s="991"/>
      <c r="D102" s="991"/>
      <c r="E102" s="991"/>
      <c r="F102" s="1640"/>
      <c r="G102" s="1640"/>
      <c r="H102" s="355"/>
      <c r="N102" s="1645"/>
      <c r="O102" s="1645"/>
      <c r="P102" s="1645"/>
      <c r="Q102" s="1645"/>
      <c r="R102" s="1645"/>
      <c r="S102" s="1645"/>
      <c r="T102" s="1370"/>
      <c r="V102" s="1370"/>
      <c r="W102" s="1640"/>
      <c r="X102" s="1640"/>
      <c r="Y102" s="1370"/>
      <c r="Z102" s="1370"/>
      <c r="AA102" s="1370"/>
      <c r="AB102" s="1370"/>
      <c r="AC102" s="1640"/>
      <c r="AD102" s="1370"/>
      <c r="AE102" s="1370"/>
      <c r="AF102" s="548"/>
      <c r="AG102" s="1370"/>
      <c r="AH102" s="1370"/>
      <c r="AI102" s="1370"/>
      <c r="AJ102" s="1370"/>
      <c r="AK102" s="1370"/>
      <c r="AL102" s="1636"/>
      <c r="AM102" s="626"/>
      <c r="AN102" s="626"/>
      <c r="AO102" s="626"/>
      <c r="AP102" s="626"/>
      <c r="AQ102" s="1645">
        <v>11</v>
      </c>
    </row>
    <row s="1645" customFormat="1" customHeight="1" ht="11.549999999999999">
      <c r="A103" s="991"/>
      <c r="B103" s="991"/>
      <c r="C103" s="991"/>
      <c r="D103" s="991"/>
      <c r="E103" s="991"/>
      <c r="F103" s="1640"/>
      <c r="G103" s="1640"/>
      <c r="H103" s="355"/>
      <c r="N103" s="1645"/>
      <c r="O103" s="1645"/>
      <c r="P103" s="1645"/>
      <c r="Q103" s="1645"/>
      <c r="R103" s="1645"/>
      <c r="S103" s="1645"/>
      <c r="T103" s="1370"/>
      <c r="V103" s="1370"/>
      <c r="W103" s="1640"/>
      <c r="X103" s="1640"/>
      <c r="Y103" s="1370"/>
      <c r="Z103" s="1370"/>
      <c r="AA103" s="1370"/>
      <c r="AB103" s="1370"/>
      <c r="AC103" s="1640"/>
      <c r="AD103" s="1370"/>
      <c r="AE103" s="1370"/>
      <c r="AF103" s="548"/>
      <c r="AG103" s="1370"/>
      <c r="AH103" s="1370"/>
      <c r="AI103" s="1370"/>
      <c r="AJ103" s="1370"/>
      <c r="AK103" s="1370"/>
      <c r="AL103" s="1636"/>
      <c r="AM103" s="626"/>
      <c r="AN103" s="626"/>
      <c r="AO103" s="626"/>
      <c r="AP103" s="626"/>
      <c r="AQ103" s="1645">
        <v>11</v>
      </c>
    </row>
    <row s="1645" customFormat="1" customHeight="1" ht="11.549999999999999">
      <c r="A104" s="991"/>
      <c r="B104" s="991"/>
      <c r="C104" s="991"/>
      <c r="D104" s="991"/>
      <c r="E104" s="991"/>
      <c r="F104" s="1640"/>
      <c r="G104" s="1640"/>
      <c r="H104" s="355"/>
      <c r="N104" s="1645"/>
      <c r="O104" s="1645"/>
      <c r="P104" s="1645"/>
      <c r="Q104" s="1645"/>
      <c r="R104" s="1645"/>
      <c r="S104" s="1645"/>
      <c r="T104" s="1370"/>
      <c r="V104" s="1370"/>
      <c r="W104" s="1640"/>
      <c r="X104" s="1640"/>
      <c r="Y104" s="1370"/>
      <c r="Z104" s="1370"/>
      <c r="AA104" s="1370"/>
      <c r="AB104" s="1370"/>
      <c r="AC104" s="1640"/>
      <c r="AD104" s="1370"/>
      <c r="AE104" s="1370"/>
      <c r="AF104" s="548"/>
      <c r="AG104" s="1370"/>
      <c r="AH104" s="1370"/>
      <c r="AI104" s="1370"/>
      <c r="AJ104" s="1370"/>
      <c r="AK104" s="1370"/>
      <c r="AL104" s="1636"/>
      <c r="AM104" s="626"/>
      <c r="AN104" s="626"/>
      <c r="AO104" s="626"/>
      <c r="AP104" s="626"/>
      <c r="AQ104" s="1645">
        <v>11</v>
      </c>
    </row>
    <row s="1645" customFormat="1" customHeight="1" ht="11.549999999999999">
      <c r="A105" s="991"/>
      <c r="B105" s="991"/>
      <c r="C105" s="991"/>
      <c r="D105" s="991"/>
      <c r="E105" s="991"/>
      <c r="F105" s="1640"/>
      <c r="G105" s="1640"/>
      <c r="H105" s="355"/>
      <c r="N105" s="1645"/>
      <c r="O105" s="1645"/>
      <c r="P105" s="1645"/>
      <c r="Q105" s="1645"/>
      <c r="R105" s="1645"/>
      <c r="S105" s="1645"/>
      <c r="T105" s="1370"/>
      <c r="V105" s="1370"/>
      <c r="W105" s="1640"/>
      <c r="X105" s="1640"/>
      <c r="Y105" s="1370"/>
      <c r="Z105" s="1370"/>
      <c r="AA105" s="1370"/>
      <c r="AB105" s="1370"/>
      <c r="AC105" s="1640"/>
      <c r="AD105" s="1370"/>
      <c r="AE105" s="1370"/>
      <c r="AF105" s="548"/>
      <c r="AG105" s="1370"/>
      <c r="AH105" s="1370"/>
      <c r="AI105" s="1370"/>
      <c r="AJ105" s="1370"/>
      <c r="AK105" s="1370"/>
      <c r="AL105" s="1636"/>
      <c r="AM105" s="626"/>
      <c r="AN105" s="626"/>
      <c r="AO105" s="626"/>
      <c r="AP105" s="626"/>
      <c r="AQ105" s="1645">
        <v>11</v>
      </c>
    </row>
    <row s="1645" customFormat="1" customHeight="1" ht="11.549999999999999">
      <c r="A106" s="991"/>
      <c r="B106" s="991"/>
      <c r="C106" s="991"/>
      <c r="D106" s="991"/>
      <c r="E106" s="991"/>
      <c r="F106" s="1640"/>
      <c r="G106" s="1640"/>
      <c r="H106" s="355"/>
      <c r="N106" s="1645"/>
      <c r="O106" s="1645"/>
      <c r="P106" s="1645"/>
      <c r="Q106" s="1645"/>
      <c r="R106" s="1645"/>
      <c r="S106" s="1645"/>
      <c r="T106" s="1370"/>
      <c r="V106" s="1370"/>
      <c r="W106" s="1640"/>
      <c r="X106" s="1640"/>
      <c r="Y106" s="1370"/>
      <c r="Z106" s="1370"/>
      <c r="AA106" s="1370"/>
      <c r="AB106" s="1370"/>
      <c r="AC106" s="1640"/>
      <c r="AD106" s="1370"/>
      <c r="AE106" s="1370"/>
      <c r="AF106" s="548"/>
      <c r="AG106" s="1370"/>
      <c r="AH106" s="1370"/>
      <c r="AI106" s="1370"/>
      <c r="AJ106" s="1370"/>
      <c r="AK106" s="1370"/>
      <c r="AL106" s="1636"/>
      <c r="AM106" s="626"/>
      <c r="AN106" s="626"/>
      <c r="AO106" s="626"/>
      <c r="AP106" s="626"/>
      <c r="AQ106" s="1645">
        <v>11</v>
      </c>
    </row>
    <row s="1645" customFormat="1" customHeight="1" ht="11.549999999999999">
      <c r="A107" s="991"/>
      <c r="B107" s="991"/>
      <c r="C107" s="991"/>
      <c r="D107" s="991"/>
      <c r="E107" s="991"/>
      <c r="F107" s="1640"/>
      <c r="G107" s="1640"/>
      <c r="H107" s="355"/>
      <c r="N107" s="1645"/>
      <c r="O107" s="1645"/>
      <c r="P107" s="1645"/>
      <c r="Q107" s="1645"/>
      <c r="R107" s="1645"/>
      <c r="S107" s="1645"/>
      <c r="T107" s="1370"/>
      <c r="V107" s="1370"/>
      <c r="W107" s="1640"/>
      <c r="X107" s="1640"/>
      <c r="Y107" s="1370"/>
      <c r="Z107" s="1370"/>
      <c r="AA107" s="1370"/>
      <c r="AB107" s="1370"/>
      <c r="AC107" s="1640"/>
      <c r="AD107" s="1370"/>
      <c r="AE107" s="1370"/>
      <c r="AF107" s="548"/>
      <c r="AG107" s="1370"/>
      <c r="AH107" s="1370"/>
      <c r="AI107" s="1370"/>
      <c r="AJ107" s="1370"/>
      <c r="AK107" s="1370"/>
      <c r="AL107" s="1636"/>
      <c r="AM107" s="626"/>
      <c r="AN107" s="626"/>
      <c r="AO107" s="626"/>
      <c r="AP107" s="626"/>
      <c r="AQ107" s="1645">
        <v>11</v>
      </c>
    </row>
    <row s="1645" customFormat="1" customHeight="1" ht="11.549999999999999">
      <c r="A108" s="991"/>
      <c r="B108" s="991"/>
      <c r="C108" s="991"/>
      <c r="D108" s="991"/>
      <c r="E108" s="991"/>
      <c r="F108" s="1640"/>
      <c r="G108" s="1640"/>
      <c r="H108" s="355"/>
      <c r="N108" s="1645"/>
      <c r="O108" s="1645"/>
      <c r="P108" s="1645"/>
      <c r="Q108" s="1645"/>
      <c r="R108" s="1645"/>
      <c r="S108" s="1645"/>
      <c r="T108" s="1370"/>
      <c r="V108" s="1370"/>
      <c r="W108" s="1640"/>
      <c r="X108" s="1640"/>
      <c r="Y108" s="1370"/>
      <c r="Z108" s="1370"/>
      <c r="AA108" s="1370"/>
      <c r="AB108" s="1370"/>
      <c r="AC108" s="1640"/>
      <c r="AD108" s="1370"/>
      <c r="AE108" s="1370"/>
      <c r="AF108" s="548"/>
      <c r="AG108" s="1370"/>
      <c r="AH108" s="1370"/>
      <c r="AI108" s="1370"/>
      <c r="AJ108" s="1370"/>
      <c r="AK108" s="1370"/>
      <c r="AL108" s="1636"/>
      <c r="AM108" s="626"/>
      <c r="AN108" s="626"/>
      <c r="AO108" s="626"/>
      <c r="AP108" s="626"/>
      <c r="AQ108" s="1645">
        <v>11</v>
      </c>
    </row>
    <row s="1645" customFormat="1" customHeight="1" ht="11.549999999999999">
      <c r="A109" s="991"/>
      <c r="B109" s="991"/>
      <c r="C109" s="991"/>
      <c r="D109" s="991"/>
      <c r="E109" s="991"/>
      <c r="F109" s="1640"/>
      <c r="G109" s="1640"/>
      <c r="H109" s="355"/>
      <c r="N109" s="1645"/>
      <c r="O109" s="1645"/>
      <c r="P109" s="1645"/>
      <c r="Q109" s="1645"/>
      <c r="R109" s="1645"/>
      <c r="S109" s="1645"/>
      <c r="T109" s="1370"/>
      <c r="V109" s="1370"/>
      <c r="W109" s="1640"/>
      <c r="X109" s="1640"/>
      <c r="Y109" s="1370"/>
      <c r="Z109" s="1370"/>
      <c r="AA109" s="1370"/>
      <c r="AB109" s="1370"/>
      <c r="AC109" s="1640"/>
      <c r="AD109" s="1370"/>
      <c r="AE109" s="1370"/>
      <c r="AF109" s="548"/>
      <c r="AG109" s="1370"/>
      <c r="AH109" s="1370"/>
      <c r="AI109" s="1370"/>
      <c r="AJ109" s="1370"/>
      <c r="AK109" s="1370"/>
      <c r="AL109" s="1636"/>
      <c r="AM109" s="626"/>
      <c r="AN109" s="626"/>
      <c r="AO109" s="626"/>
      <c r="AP109" s="626"/>
      <c r="AQ109" s="1645">
        <v>11</v>
      </c>
    </row>
    <row s="1645" customFormat="1" customHeight="1" ht="11.549999999999999">
      <c r="A110" s="991"/>
      <c r="B110" s="991"/>
      <c r="C110" s="991"/>
      <c r="D110" s="991"/>
      <c r="E110" s="991"/>
      <c r="F110" s="1640"/>
      <c r="G110" s="1640"/>
      <c r="H110" s="355"/>
      <c r="N110" s="1645"/>
      <c r="O110" s="1645"/>
      <c r="P110" s="1645"/>
      <c r="Q110" s="1645"/>
      <c r="R110" s="1645"/>
      <c r="S110" s="1645"/>
      <c r="T110" s="1370"/>
      <c r="V110" s="1370"/>
      <c r="W110" s="1640"/>
      <c r="X110" s="1640"/>
      <c r="Y110" s="1370"/>
      <c r="Z110" s="1370"/>
      <c r="AA110" s="1370"/>
      <c r="AB110" s="1370"/>
      <c r="AC110" s="1640"/>
      <c r="AD110" s="1370"/>
      <c r="AE110" s="1370"/>
      <c r="AF110" s="548"/>
      <c r="AG110" s="1370"/>
      <c r="AH110" s="1370"/>
      <c r="AI110" s="1370"/>
      <c r="AJ110" s="1370"/>
      <c r="AK110" s="1370"/>
      <c r="AL110" s="1636"/>
      <c r="AM110" s="626"/>
      <c r="AN110" s="626"/>
      <c r="AO110" s="626"/>
      <c r="AP110" s="626"/>
      <c r="AQ110" s="1645">
        <v>11</v>
      </c>
    </row>
    <row s="1645" customFormat="1" customHeight="1" ht="11.549999999999999">
      <c r="A111" s="991"/>
      <c r="B111" s="991"/>
      <c r="C111" s="991"/>
      <c r="D111" s="991"/>
      <c r="E111" s="991"/>
      <c r="F111" s="1640"/>
      <c r="G111" s="1640"/>
      <c r="H111" s="355"/>
      <c r="N111" s="1645"/>
      <c r="O111" s="1645"/>
      <c r="P111" s="1645"/>
      <c r="Q111" s="1645"/>
      <c r="R111" s="1645"/>
      <c r="S111" s="1645"/>
      <c r="T111" s="1370"/>
      <c r="V111" s="1370"/>
      <c r="W111" s="1640"/>
      <c r="X111" s="1640"/>
      <c r="Y111" s="1370"/>
      <c r="Z111" s="1370"/>
      <c r="AA111" s="1370"/>
      <c r="AB111" s="1370"/>
      <c r="AC111" s="1640"/>
      <c r="AD111" s="1370"/>
      <c r="AE111" s="1370"/>
      <c r="AF111" s="548"/>
      <c r="AG111" s="1370"/>
      <c r="AH111" s="1370"/>
      <c r="AI111" s="1370"/>
      <c r="AJ111" s="1370"/>
      <c r="AK111" s="1370"/>
      <c r="AL111" s="1636"/>
      <c r="AM111" s="626"/>
      <c r="AN111" s="626"/>
      <c r="AO111" s="626"/>
      <c r="AP111" s="626"/>
      <c r="AQ111" s="1645">
        <v>11</v>
      </c>
    </row>
    <row s="1645" customFormat="1" customHeight="1" ht="11.549999999999999">
      <c r="A112" s="991"/>
      <c r="B112" s="991"/>
      <c r="C112" s="991"/>
      <c r="D112" s="991"/>
      <c r="E112" s="991"/>
      <c r="F112" s="1640"/>
      <c r="G112" s="1640"/>
      <c r="H112" s="355"/>
      <c r="N112" s="1645"/>
      <c r="O112" s="1645"/>
      <c r="P112" s="1645"/>
      <c r="Q112" s="1645"/>
      <c r="R112" s="1645"/>
      <c r="S112" s="1645"/>
      <c r="T112" s="1370"/>
      <c r="V112" s="1370"/>
      <c r="W112" s="1640"/>
      <c r="X112" s="1640"/>
      <c r="Y112" s="1370"/>
      <c r="Z112" s="1370"/>
      <c r="AA112" s="1370"/>
      <c r="AB112" s="1370"/>
      <c r="AC112" s="1640"/>
      <c r="AD112" s="1370"/>
      <c r="AE112" s="1370"/>
      <c r="AF112" s="548"/>
      <c r="AG112" s="1370"/>
      <c r="AH112" s="1370"/>
      <c r="AI112" s="1370"/>
      <c r="AJ112" s="1370"/>
      <c r="AK112" s="1370"/>
      <c r="AL112" s="1636"/>
      <c r="AM112" s="626"/>
      <c r="AN112" s="626"/>
      <c r="AO112" s="626"/>
      <c r="AP112" s="626"/>
      <c r="AQ112" s="1645">
        <v>11</v>
      </c>
    </row>
    <row s="1645" customFormat="1" customHeight="1" ht="11.549999999999999">
      <c r="A113" s="991"/>
      <c r="B113" s="991"/>
      <c r="C113" s="991"/>
      <c r="D113" s="991"/>
      <c r="E113" s="991"/>
      <c r="F113" s="1640"/>
      <c r="G113" s="1640"/>
      <c r="H113" s="355"/>
      <c r="N113" s="1645"/>
      <c r="O113" s="1645"/>
      <c r="P113" s="1645"/>
      <c r="Q113" s="1645"/>
      <c r="R113" s="1645"/>
      <c r="S113" s="1645"/>
      <c r="T113" s="1370"/>
      <c r="V113" s="1370"/>
      <c r="W113" s="1640"/>
      <c r="X113" s="1640"/>
      <c r="Y113" s="1370"/>
      <c r="Z113" s="1370"/>
      <c r="AA113" s="1370"/>
      <c r="AB113" s="1370"/>
      <c r="AC113" s="1640"/>
      <c r="AD113" s="1370"/>
      <c r="AE113" s="1370"/>
      <c r="AF113" s="548"/>
      <c r="AG113" s="1370"/>
      <c r="AH113" s="1370"/>
      <c r="AI113" s="1370"/>
      <c r="AJ113" s="1370"/>
      <c r="AK113" s="1370"/>
      <c r="AL113" s="1636"/>
      <c r="AM113" s="626"/>
      <c r="AN113" s="626"/>
      <c r="AO113" s="626"/>
      <c r="AP113" s="626"/>
      <c r="AQ113" s="1645">
        <v>11</v>
      </c>
    </row>
    <row s="1645" customFormat="1" customHeight="1" ht="11.549999999999999">
      <c r="A114" s="991"/>
      <c r="B114" s="991"/>
      <c r="C114" s="991"/>
      <c r="D114" s="991"/>
      <c r="E114" s="991"/>
      <c r="F114" s="1640"/>
      <c r="G114" s="1640"/>
      <c r="H114" s="355"/>
      <c r="N114" s="1645"/>
      <c r="O114" s="1645"/>
      <c r="P114" s="1645"/>
      <c r="Q114" s="1645"/>
      <c r="R114" s="1645"/>
      <c r="S114" s="1645"/>
      <c r="T114" s="1370"/>
      <c r="V114" s="1370"/>
      <c r="W114" s="1640"/>
      <c r="X114" s="1640"/>
      <c r="Y114" s="1370"/>
      <c r="Z114" s="1370"/>
      <c r="AA114" s="1370"/>
      <c r="AB114" s="1370"/>
      <c r="AC114" s="1640"/>
      <c r="AD114" s="1370"/>
      <c r="AE114" s="1370"/>
      <c r="AF114" s="548"/>
      <c r="AG114" s="1370"/>
      <c r="AH114" s="1370"/>
      <c r="AI114" s="1370"/>
      <c r="AJ114" s="1370"/>
      <c r="AK114" s="1370"/>
      <c r="AL114" s="1636"/>
      <c r="AM114" s="626"/>
      <c r="AN114" s="626"/>
      <c r="AO114" s="626"/>
      <c r="AP114" s="626"/>
      <c r="AQ114" s="1645">
        <v>11</v>
      </c>
    </row>
    <row s="1645" customFormat="1" customHeight="1" ht="11.549999999999999">
      <c r="A115" s="991"/>
      <c r="B115" s="991"/>
      <c r="C115" s="991"/>
      <c r="D115" s="991"/>
      <c r="E115" s="991"/>
      <c r="F115" s="1640"/>
      <c r="G115" s="1640"/>
      <c r="H115" s="355"/>
      <c r="N115" s="1645"/>
      <c r="O115" s="1645"/>
      <c r="P115" s="1645"/>
      <c r="Q115" s="1645"/>
      <c r="R115" s="1645"/>
      <c r="S115" s="1645"/>
      <c r="T115" s="1370"/>
      <c r="V115" s="1370"/>
      <c r="W115" s="1640"/>
      <c r="X115" s="1640"/>
      <c r="Y115" s="1370"/>
      <c r="Z115" s="1370"/>
      <c r="AA115" s="1370"/>
      <c r="AB115" s="1370"/>
      <c r="AC115" s="1640"/>
      <c r="AD115" s="1370"/>
      <c r="AE115" s="1370"/>
      <c r="AF115" s="548"/>
      <c r="AG115" s="1370"/>
      <c r="AH115" s="1370"/>
      <c r="AI115" s="1370"/>
      <c r="AJ115" s="1370"/>
      <c r="AK115" s="1370"/>
      <c r="AL115" s="1636"/>
      <c r="AM115" s="626"/>
      <c r="AN115" s="626"/>
      <c r="AO115" s="626"/>
      <c r="AP115" s="626"/>
      <c r="AQ115" s="1645">
        <v>11</v>
      </c>
    </row>
    <row s="1645" customFormat="1" customHeight="1" ht="11.549999999999999">
      <c r="A116" s="991"/>
      <c r="B116" s="991"/>
      <c r="C116" s="991"/>
      <c r="D116" s="991"/>
      <c r="E116" s="991"/>
      <c r="F116" s="1640"/>
      <c r="G116" s="1640"/>
      <c r="H116" s="355"/>
      <c r="N116" s="1645"/>
      <c r="O116" s="1645"/>
      <c r="P116" s="1645"/>
      <c r="Q116" s="1645"/>
      <c r="R116" s="1645"/>
      <c r="S116" s="1645"/>
      <c r="T116" s="1370"/>
      <c r="V116" s="1370"/>
      <c r="W116" s="1640"/>
      <c r="X116" s="1640"/>
      <c r="Y116" s="1370"/>
      <c r="Z116" s="1370"/>
      <c r="AA116" s="1370"/>
      <c r="AB116" s="1370"/>
      <c r="AC116" s="1640"/>
      <c r="AD116" s="1370"/>
      <c r="AE116" s="1370"/>
      <c r="AF116" s="548"/>
      <c r="AG116" s="1370"/>
      <c r="AH116" s="1370"/>
      <c r="AI116" s="1370"/>
      <c r="AJ116" s="1370"/>
      <c r="AK116" s="1370"/>
      <c r="AL116" s="1636"/>
      <c r="AM116" s="626"/>
      <c r="AN116" s="626"/>
      <c r="AO116" s="626"/>
      <c r="AP116" s="626"/>
      <c r="AQ116" s="1645">
        <v>11</v>
      </c>
    </row>
    <row s="1645" customFormat="1" customHeight="1" ht="11.549999999999999">
      <c r="A117" s="991"/>
      <c r="B117" s="991"/>
      <c r="C117" s="991"/>
      <c r="D117" s="991"/>
      <c r="E117" s="991"/>
      <c r="F117" s="1640"/>
      <c r="G117" s="1640"/>
      <c r="H117" s="355"/>
      <c r="N117" s="1645"/>
      <c r="O117" s="1645"/>
      <c r="P117" s="1645"/>
      <c r="Q117" s="1645"/>
      <c r="R117" s="1645"/>
      <c r="S117" s="1645"/>
      <c r="T117" s="1370"/>
      <c r="V117" s="1370"/>
      <c r="W117" s="1640"/>
      <c r="X117" s="1640"/>
      <c r="Y117" s="1370"/>
      <c r="Z117" s="1370"/>
      <c r="AA117" s="1370"/>
      <c r="AB117" s="1370"/>
      <c r="AC117" s="1640"/>
      <c r="AD117" s="1370"/>
      <c r="AE117" s="1370"/>
      <c r="AF117" s="548"/>
      <c r="AG117" s="1370"/>
      <c r="AH117" s="1370"/>
      <c r="AI117" s="1370"/>
      <c r="AJ117" s="1370"/>
      <c r="AK117" s="1370"/>
      <c r="AL117" s="1636"/>
      <c r="AM117" s="626"/>
      <c r="AN117" s="626"/>
      <c r="AO117" s="626"/>
      <c r="AP117" s="626"/>
      <c r="AQ117" s="1645">
        <v>11</v>
      </c>
    </row>
    <row s="1645" customFormat="1" customHeight="1" ht="11.549999999999999">
      <c r="A118" s="991"/>
      <c r="B118" s="991"/>
      <c r="C118" s="991"/>
      <c r="D118" s="991"/>
      <c r="E118" s="991"/>
      <c r="F118" s="1640"/>
      <c r="G118" s="1640"/>
      <c r="H118" s="355"/>
      <c r="N118" s="1645"/>
      <c r="O118" s="1645"/>
      <c r="P118" s="1645"/>
      <c r="Q118" s="1645"/>
      <c r="R118" s="1645"/>
      <c r="S118" s="1645"/>
      <c r="T118" s="1370"/>
      <c r="V118" s="1370"/>
      <c r="W118" s="1640"/>
      <c r="X118" s="1640"/>
      <c r="Y118" s="1370"/>
      <c r="Z118" s="1370"/>
      <c r="AA118" s="1370"/>
      <c r="AB118" s="1370"/>
      <c r="AC118" s="1640"/>
      <c r="AD118" s="1370"/>
      <c r="AE118" s="1370"/>
      <c r="AF118" s="548"/>
      <c r="AG118" s="1370"/>
      <c r="AH118" s="1370"/>
      <c r="AI118" s="1370"/>
      <c r="AJ118" s="1370"/>
      <c r="AK118" s="1370"/>
      <c r="AL118" s="1636"/>
      <c r="AM118" s="626"/>
      <c r="AN118" s="626"/>
      <c r="AO118" s="626"/>
      <c r="AP118" s="626"/>
      <c r="AQ118" s="1645">
        <v>11</v>
      </c>
    </row>
    <row s="1645" customFormat="1" customHeight="1" ht="11.549999999999999">
      <c r="A119" s="991"/>
      <c r="B119" s="991"/>
      <c r="C119" s="991"/>
      <c r="D119" s="991"/>
      <c r="E119" s="991"/>
      <c r="F119" s="1640"/>
      <c r="G119" s="1640"/>
      <c r="H119" s="355"/>
      <c r="N119" s="1645"/>
      <c r="O119" s="1645"/>
      <c r="P119" s="1645"/>
      <c r="Q119" s="1645"/>
      <c r="R119" s="1645"/>
      <c r="S119" s="1645"/>
      <c r="T119" s="1370"/>
      <c r="V119" s="1370"/>
      <c r="W119" s="1640"/>
      <c r="X119" s="1640"/>
      <c r="Y119" s="1370"/>
      <c r="Z119" s="1370"/>
      <c r="AA119" s="1370"/>
      <c r="AB119" s="1370"/>
      <c r="AC119" s="1640"/>
      <c r="AD119" s="1370"/>
      <c r="AE119" s="1370"/>
      <c r="AF119" s="548"/>
      <c r="AG119" s="1370"/>
      <c r="AH119" s="1370"/>
      <c r="AI119" s="1370"/>
      <c r="AJ119" s="1370"/>
      <c r="AK119" s="1370"/>
      <c r="AL119" s="1636"/>
      <c r="AM119" s="626"/>
      <c r="AN119" s="626"/>
      <c r="AO119" s="626"/>
      <c r="AP119" s="626"/>
      <c r="AQ119" s="1645">
        <v>11</v>
      </c>
    </row>
    <row s="1645" customFormat="1" customHeight="1" ht="11.549999999999999">
      <c r="A120" s="991"/>
      <c r="B120" s="991"/>
      <c r="C120" s="991"/>
      <c r="D120" s="991"/>
      <c r="E120" s="991"/>
      <c r="F120" s="1640"/>
      <c r="G120" s="1640"/>
      <c r="H120" s="355"/>
      <c r="N120" s="1645"/>
      <c r="O120" s="1645"/>
      <c r="P120" s="1645"/>
      <c r="Q120" s="1645"/>
      <c r="R120" s="1645"/>
      <c r="S120" s="1645"/>
      <c r="T120" s="1370"/>
      <c r="V120" s="1370"/>
      <c r="W120" s="1640"/>
      <c r="X120" s="1640"/>
      <c r="Y120" s="1370"/>
      <c r="Z120" s="1370"/>
      <c r="AA120" s="1370"/>
      <c r="AB120" s="1370"/>
      <c r="AC120" s="1640"/>
      <c r="AD120" s="1370"/>
      <c r="AE120" s="1370"/>
      <c r="AF120" s="548"/>
      <c r="AG120" s="1370"/>
      <c r="AH120" s="1370"/>
      <c r="AI120" s="1370"/>
      <c r="AJ120" s="1370"/>
      <c r="AK120" s="1370"/>
      <c r="AL120" s="1636"/>
      <c r="AM120" s="626"/>
      <c r="AN120" s="626"/>
      <c r="AO120" s="626"/>
      <c r="AP120" s="626"/>
      <c r="AQ120" s="1645">
        <v>11</v>
      </c>
    </row>
    <row s="1645" customFormat="1" customHeight="1" ht="11.549999999999999">
      <c r="A121" s="991"/>
      <c r="B121" s="991"/>
      <c r="C121" s="991"/>
      <c r="D121" s="991"/>
      <c r="E121" s="991"/>
      <c r="F121" s="1640"/>
      <c r="G121" s="1640"/>
      <c r="H121" s="355"/>
      <c r="N121" s="1645"/>
      <c r="O121" s="1645"/>
      <c r="P121" s="1645"/>
      <c r="Q121" s="1645"/>
      <c r="R121" s="1645"/>
      <c r="S121" s="1645"/>
      <c r="T121" s="1370"/>
      <c r="V121" s="1370"/>
      <c r="W121" s="1640"/>
      <c r="X121" s="1640"/>
      <c r="Y121" s="1370"/>
      <c r="Z121" s="1370"/>
      <c r="AA121" s="1370"/>
      <c r="AB121" s="1370"/>
      <c r="AC121" s="1640"/>
      <c r="AD121" s="1370"/>
      <c r="AE121" s="1370"/>
      <c r="AF121" s="548"/>
      <c r="AG121" s="1370"/>
      <c r="AH121" s="1370"/>
      <c r="AI121" s="1370"/>
      <c r="AJ121" s="1370"/>
      <c r="AK121" s="1370"/>
      <c r="AL121" s="1636"/>
      <c r="AM121" s="626"/>
      <c r="AN121" s="626"/>
      <c r="AO121" s="626"/>
      <c r="AP121" s="626"/>
      <c r="AQ121" s="1645">
        <v>11</v>
      </c>
    </row>
    <row s="1645" customFormat="1" customHeight="1" ht="11.549999999999999">
      <c r="A122" s="991"/>
      <c r="B122" s="991"/>
      <c r="C122" s="991"/>
      <c r="D122" s="991"/>
      <c r="E122" s="991"/>
      <c r="F122" s="1640"/>
      <c r="G122" s="1640"/>
      <c r="H122" s="355"/>
      <c r="N122" s="1645"/>
      <c r="O122" s="1645"/>
      <c r="P122" s="1645"/>
      <c r="Q122" s="1645"/>
      <c r="R122" s="1645"/>
      <c r="S122" s="1645"/>
      <c r="T122" s="1370"/>
      <c r="V122" s="1370"/>
      <c r="W122" s="1640"/>
      <c r="X122" s="1640"/>
      <c r="Y122" s="1370"/>
      <c r="Z122" s="1370"/>
      <c r="AA122" s="1370"/>
      <c r="AB122" s="1370"/>
      <c r="AC122" s="1640"/>
      <c r="AD122" s="1370"/>
      <c r="AE122" s="1370"/>
      <c r="AF122" s="548"/>
      <c r="AG122" s="1370"/>
      <c r="AH122" s="1370"/>
      <c r="AI122" s="1370"/>
      <c r="AJ122" s="1370"/>
      <c r="AK122" s="1370"/>
      <c r="AL122" s="1636"/>
      <c r="AM122" s="626"/>
      <c r="AN122" s="626"/>
      <c r="AO122" s="626"/>
      <c r="AP122" s="626"/>
      <c r="AQ122" s="1645">
        <v>11</v>
      </c>
    </row>
    <row s="1645" customFormat="1" customHeight="1" ht="11.549999999999999">
      <c r="A123" s="991"/>
      <c r="B123" s="991"/>
      <c r="C123" s="991"/>
      <c r="D123" s="991"/>
      <c r="E123" s="991"/>
      <c r="F123" s="1640"/>
      <c r="G123" s="1640"/>
      <c r="H123" s="355"/>
      <c r="N123" s="1645"/>
      <c r="O123" s="1645"/>
      <c r="P123" s="1645"/>
      <c r="Q123" s="1645"/>
      <c r="R123" s="1645"/>
      <c r="S123" s="1645"/>
      <c r="T123" s="1370"/>
      <c r="V123" s="1370"/>
      <c r="W123" s="1640"/>
      <c r="X123" s="1640"/>
      <c r="Y123" s="1370"/>
      <c r="Z123" s="1370"/>
      <c r="AA123" s="1370"/>
      <c r="AB123" s="1370"/>
      <c r="AC123" s="1640"/>
      <c r="AD123" s="1370"/>
      <c r="AE123" s="1370"/>
      <c r="AF123" s="548"/>
      <c r="AG123" s="1370"/>
      <c r="AH123" s="1370"/>
      <c r="AI123" s="1370"/>
      <c r="AJ123" s="1370"/>
      <c r="AK123" s="1370"/>
      <c r="AL123" s="1636"/>
      <c r="AM123" s="626"/>
      <c r="AN123" s="626"/>
      <c r="AO123" s="626"/>
      <c r="AP123" s="626"/>
      <c r="AQ123" s="1645">
        <v>11</v>
      </c>
    </row>
    <row s="1645" customFormat="1" customHeight="1" ht="11.549999999999999">
      <c r="A124" s="991"/>
      <c r="B124" s="991"/>
      <c r="C124" s="991"/>
      <c r="D124" s="991"/>
      <c r="E124" s="991"/>
      <c r="F124" s="1640"/>
      <c r="G124" s="1640"/>
      <c r="H124" s="355"/>
      <c r="N124" s="1645"/>
      <c r="O124" s="1645"/>
      <c r="P124" s="1645"/>
      <c r="Q124" s="1645"/>
      <c r="R124" s="1645"/>
      <c r="S124" s="1645"/>
      <c r="T124" s="1370"/>
      <c r="V124" s="1370"/>
      <c r="W124" s="1640"/>
      <c r="X124" s="1640"/>
      <c r="Y124" s="1370"/>
      <c r="Z124" s="1370"/>
      <c r="AA124" s="1370"/>
      <c r="AB124" s="1370"/>
      <c r="AC124" s="1640"/>
      <c r="AD124" s="1370"/>
      <c r="AE124" s="1370"/>
      <c r="AF124" s="548"/>
      <c r="AG124" s="1370"/>
      <c r="AH124" s="1370"/>
      <c r="AI124" s="1370"/>
      <c r="AJ124" s="1370"/>
      <c r="AK124" s="1370"/>
      <c r="AL124" s="1636"/>
      <c r="AM124" s="626"/>
      <c r="AN124" s="626"/>
      <c r="AO124" s="626"/>
      <c r="AP124" s="626"/>
      <c r="AQ124" s="1645">
        <v>11</v>
      </c>
    </row>
    <row s="1645" customFormat="1" customHeight="1" ht="11.549999999999999">
      <c r="A125" s="991"/>
      <c r="B125" s="991"/>
      <c r="C125" s="991"/>
      <c r="D125" s="991"/>
      <c r="E125" s="991"/>
      <c r="F125" s="1640"/>
      <c r="G125" s="1640"/>
      <c r="H125" s="355"/>
      <c r="N125" s="1645"/>
      <c r="O125" s="1645"/>
      <c r="P125" s="1645"/>
      <c r="Q125" s="1645"/>
      <c r="R125" s="1645"/>
      <c r="S125" s="1645"/>
      <c r="T125" s="1370"/>
      <c r="V125" s="1370"/>
      <c r="W125" s="1640"/>
      <c r="X125" s="1640"/>
      <c r="Y125" s="1370"/>
      <c r="Z125" s="1370"/>
      <c r="AA125" s="1370"/>
      <c r="AB125" s="1370"/>
      <c r="AC125" s="1640"/>
      <c r="AD125" s="1370"/>
      <c r="AE125" s="1370"/>
      <c r="AF125" s="548"/>
      <c r="AG125" s="1370"/>
      <c r="AH125" s="1370"/>
      <c r="AI125" s="1370"/>
      <c r="AJ125" s="1370"/>
      <c r="AK125" s="1370"/>
      <c r="AL125" s="1636"/>
      <c r="AM125" s="626"/>
      <c r="AN125" s="626"/>
      <c r="AO125" s="626"/>
      <c r="AP125" s="626"/>
      <c r="AQ125" s="1645">
        <v>11</v>
      </c>
    </row>
    <row s="1645" customFormat="1" customHeight="1" ht="11.549999999999999">
      <c r="A126" s="991"/>
      <c r="B126" s="991"/>
      <c r="C126" s="991"/>
      <c r="D126" s="991"/>
      <c r="E126" s="991"/>
      <c r="F126" s="1640"/>
      <c r="G126" s="1640"/>
      <c r="H126" s="355"/>
      <c r="N126" s="1645"/>
      <c r="O126" s="1645"/>
      <c r="P126" s="1645"/>
      <c r="Q126" s="1645"/>
      <c r="R126" s="1645"/>
      <c r="S126" s="1645"/>
      <c r="T126" s="1370"/>
      <c r="V126" s="1370"/>
      <c r="W126" s="1640"/>
      <c r="X126" s="1640"/>
      <c r="Y126" s="1370"/>
      <c r="Z126" s="1370"/>
      <c r="AA126" s="1370"/>
      <c r="AB126" s="1370"/>
      <c r="AC126" s="1640"/>
      <c r="AD126" s="1370"/>
      <c r="AE126" s="1370"/>
      <c r="AF126" s="548"/>
      <c r="AG126" s="1370"/>
      <c r="AH126" s="1370"/>
      <c r="AI126" s="1370"/>
      <c r="AJ126" s="1370"/>
      <c r="AK126" s="1370"/>
      <c r="AL126" s="1636"/>
      <c r="AM126" s="626"/>
      <c r="AN126" s="626"/>
      <c r="AO126" s="626"/>
      <c r="AP126" s="626"/>
      <c r="AQ126" s="1645">
        <v>11</v>
      </c>
    </row>
    <row s="1645" customFormat="1" customHeight="1" ht="11.549999999999999">
      <c r="A127" s="991"/>
      <c r="B127" s="991"/>
      <c r="C127" s="991"/>
      <c r="D127" s="991"/>
      <c r="E127" s="991"/>
      <c r="F127" s="1640"/>
      <c r="G127" s="1640"/>
      <c r="H127" s="355"/>
      <c r="N127" s="1645"/>
      <c r="O127" s="1645"/>
      <c r="P127" s="1645"/>
      <c r="Q127" s="1645"/>
      <c r="R127" s="1645"/>
      <c r="S127" s="1645"/>
      <c r="T127" s="1370"/>
      <c r="V127" s="1370"/>
      <c r="W127" s="1640"/>
      <c r="X127" s="1640"/>
      <c r="Y127" s="1370"/>
      <c r="Z127" s="1370"/>
      <c r="AA127" s="1370"/>
      <c r="AB127" s="1370"/>
      <c r="AC127" s="1640"/>
      <c r="AD127" s="1370"/>
      <c r="AE127" s="1370"/>
      <c r="AF127" s="548"/>
      <c r="AG127" s="1370"/>
      <c r="AH127" s="1370"/>
      <c r="AI127" s="1370"/>
      <c r="AJ127" s="1370"/>
      <c r="AK127" s="1370"/>
      <c r="AL127" s="1636"/>
      <c r="AM127" s="626"/>
      <c r="AN127" s="626"/>
      <c r="AO127" s="626"/>
      <c r="AP127" s="626"/>
      <c r="AQ127" s="1645">
        <v>11</v>
      </c>
    </row>
    <row s="1645" customFormat="1" customHeight="1" ht="11.549999999999999">
      <c r="A128" s="991"/>
      <c r="B128" s="991"/>
      <c r="C128" s="991"/>
      <c r="D128" s="991"/>
      <c r="E128" s="991"/>
      <c r="F128" s="1640"/>
      <c r="G128" s="1640"/>
      <c r="H128" s="355"/>
      <c r="N128" s="1645"/>
      <c r="O128" s="1645"/>
      <c r="P128" s="1645"/>
      <c r="Q128" s="1645"/>
      <c r="R128" s="1645"/>
      <c r="S128" s="1645"/>
      <c r="T128" s="1370"/>
      <c r="V128" s="1370"/>
      <c r="W128" s="1640"/>
      <c r="X128" s="1640"/>
      <c r="Y128" s="1370"/>
      <c r="Z128" s="1370"/>
      <c r="AA128" s="1370"/>
      <c r="AB128" s="1370"/>
      <c r="AC128" s="1640"/>
      <c r="AD128" s="1370"/>
      <c r="AE128" s="1370"/>
      <c r="AF128" s="548"/>
      <c r="AG128" s="1370"/>
      <c r="AH128" s="1370"/>
      <c r="AI128" s="1370"/>
      <c r="AJ128" s="1370"/>
      <c r="AK128" s="1370"/>
      <c r="AL128" s="1636"/>
      <c r="AM128" s="626"/>
      <c r="AN128" s="626"/>
      <c r="AO128" s="626"/>
      <c r="AP128" s="626"/>
      <c r="AQ128" s="1645">
        <v>11</v>
      </c>
    </row>
    <row s="1645" customFormat="1" customHeight="1" ht="11.549999999999999">
      <c r="A129" s="991"/>
      <c r="B129" s="991"/>
      <c r="C129" s="991"/>
      <c r="D129" s="991"/>
      <c r="E129" s="991"/>
      <c r="F129" s="1640"/>
      <c r="G129" s="1640"/>
      <c r="H129" s="355"/>
      <c r="N129" s="1645"/>
      <c r="O129" s="1645"/>
      <c r="P129" s="1645"/>
      <c r="Q129" s="1645"/>
      <c r="R129" s="1645"/>
      <c r="S129" s="1645"/>
      <c r="T129" s="1370"/>
      <c r="V129" s="1370"/>
      <c r="W129" s="1640"/>
      <c r="X129" s="1640"/>
      <c r="Y129" s="1370"/>
      <c r="Z129" s="1370"/>
      <c r="AA129" s="1370"/>
      <c r="AB129" s="1370"/>
      <c r="AC129" s="1640"/>
      <c r="AD129" s="1370"/>
      <c r="AE129" s="1370"/>
      <c r="AF129" s="548"/>
      <c r="AG129" s="1370"/>
      <c r="AH129" s="1370"/>
      <c r="AI129" s="1370"/>
      <c r="AJ129" s="1370"/>
      <c r="AK129" s="1370"/>
      <c r="AL129" s="1636"/>
      <c r="AM129" s="626"/>
      <c r="AN129" s="626"/>
      <c r="AO129" s="626"/>
      <c r="AP129" s="626"/>
      <c r="AQ129" s="1645">
        <v>11</v>
      </c>
    </row>
    <row s="1645" customFormat="1" customHeight="1" ht="11.549999999999999">
      <c r="A130" s="991"/>
      <c r="B130" s="991"/>
      <c r="C130" s="991"/>
      <c r="D130" s="991"/>
      <c r="E130" s="991"/>
      <c r="F130" s="1640"/>
      <c r="G130" s="1640"/>
      <c r="H130" s="355"/>
      <c r="N130" s="1645"/>
      <c r="O130" s="1645"/>
      <c r="P130" s="1645"/>
      <c r="Q130" s="1645"/>
      <c r="R130" s="1645"/>
      <c r="S130" s="1645"/>
      <c r="T130" s="1370"/>
      <c r="V130" s="1370"/>
      <c r="W130" s="1640"/>
      <c r="X130" s="1640"/>
      <c r="Y130" s="1370"/>
      <c r="Z130" s="1370"/>
      <c r="AA130" s="1370"/>
      <c r="AB130" s="1370"/>
      <c r="AC130" s="1640"/>
      <c r="AD130" s="1370"/>
      <c r="AE130" s="1370"/>
      <c r="AF130" s="548"/>
      <c r="AG130" s="1370"/>
      <c r="AH130" s="1370"/>
      <c r="AI130" s="1370"/>
      <c r="AJ130" s="1370"/>
      <c r="AK130" s="1370"/>
      <c r="AL130" s="1636"/>
      <c r="AM130" s="626"/>
      <c r="AN130" s="626"/>
      <c r="AO130" s="626"/>
      <c r="AP130" s="626"/>
      <c r="AQ130" s="1645">
        <v>11</v>
      </c>
    </row>
    <row s="1645" customFormat="1" customHeight="1" ht="11.549999999999999">
      <c r="A131" s="991"/>
      <c r="B131" s="991"/>
      <c r="C131" s="991"/>
      <c r="D131" s="991"/>
      <c r="E131" s="991"/>
      <c r="F131" s="1640"/>
      <c r="G131" s="1640"/>
      <c r="H131" s="355"/>
      <c r="N131" s="1645"/>
      <c r="O131" s="1645"/>
      <c r="P131" s="1645"/>
      <c r="Q131" s="1645"/>
      <c r="R131" s="1645"/>
      <c r="S131" s="1645"/>
      <c r="T131" s="1370"/>
      <c r="V131" s="1370"/>
      <c r="W131" s="1640"/>
      <c r="X131" s="1640"/>
      <c r="Y131" s="1370"/>
      <c r="Z131" s="1370"/>
      <c r="AA131" s="1370"/>
      <c r="AB131" s="1370"/>
      <c r="AC131" s="1640"/>
      <c r="AD131" s="1370"/>
      <c r="AE131" s="1370"/>
      <c r="AF131" s="548"/>
      <c r="AG131" s="1370"/>
      <c r="AH131" s="1370"/>
      <c r="AI131" s="1370"/>
      <c r="AJ131" s="1370"/>
      <c r="AK131" s="1370"/>
      <c r="AL131" s="1636"/>
      <c r="AM131" s="626"/>
      <c r="AN131" s="626"/>
      <c r="AO131" s="626"/>
      <c r="AP131" s="626"/>
      <c r="AQ131" s="1645">
        <v>11</v>
      </c>
    </row>
    <row s="1645" customFormat="1" customHeight="1" ht="11.549999999999999">
      <c r="A132" s="991"/>
      <c r="B132" s="991"/>
      <c r="C132" s="991"/>
      <c r="D132" s="991"/>
      <c r="E132" s="991"/>
      <c r="F132" s="1640"/>
      <c r="G132" s="1640"/>
      <c r="H132" s="355"/>
      <c r="N132" s="1645"/>
      <c r="O132" s="1645"/>
      <c r="P132" s="1645"/>
      <c r="Q132" s="1645"/>
      <c r="R132" s="1645"/>
      <c r="S132" s="1645"/>
      <c r="T132" s="1370"/>
      <c r="V132" s="1370"/>
      <c r="W132" s="1640"/>
      <c r="X132" s="1640"/>
      <c r="Y132" s="1370"/>
      <c r="Z132" s="1370"/>
      <c r="AA132" s="1370"/>
      <c r="AB132" s="1370"/>
      <c r="AC132" s="1640"/>
      <c r="AD132" s="1370"/>
      <c r="AE132" s="1370"/>
      <c r="AF132" s="548"/>
      <c r="AG132" s="1370"/>
      <c r="AH132" s="1370"/>
      <c r="AI132" s="1370"/>
      <c r="AJ132" s="1370"/>
      <c r="AK132" s="1370"/>
      <c r="AL132" s="1636"/>
      <c r="AM132" s="626"/>
      <c r="AN132" s="626"/>
      <c r="AO132" s="626"/>
      <c r="AP132" s="626"/>
      <c r="AQ132" s="1645">
        <v>11</v>
      </c>
    </row>
    <row s="1645" customFormat="1" customHeight="1" ht="11.549999999999999">
      <c r="A133" s="991"/>
      <c r="B133" s="991"/>
      <c r="C133" s="991"/>
      <c r="D133" s="991"/>
      <c r="E133" s="991"/>
      <c r="F133" s="1640"/>
      <c r="G133" s="1640"/>
      <c r="H133" s="355"/>
      <c r="N133" s="1645"/>
      <c r="O133" s="1645"/>
      <c r="P133" s="1645"/>
      <c r="Q133" s="1645"/>
      <c r="R133" s="1645"/>
      <c r="S133" s="1645"/>
      <c r="T133" s="1370"/>
      <c r="V133" s="1370"/>
      <c r="W133" s="1640"/>
      <c r="X133" s="1640"/>
      <c r="Y133" s="1370"/>
      <c r="Z133" s="1370"/>
      <c r="AA133" s="1370"/>
      <c r="AB133" s="1370"/>
      <c r="AC133" s="1640"/>
      <c r="AD133" s="1370"/>
      <c r="AE133" s="1370"/>
      <c r="AF133" s="548"/>
      <c r="AG133" s="1370"/>
      <c r="AH133" s="1370"/>
      <c r="AI133" s="1370"/>
      <c r="AJ133" s="1370"/>
      <c r="AK133" s="1370"/>
      <c r="AL133" s="1636"/>
      <c r="AM133" s="626"/>
      <c r="AN133" s="626"/>
      <c r="AO133" s="626"/>
      <c r="AP133" s="626"/>
      <c r="AQ133" s="1645">
        <v>11</v>
      </c>
    </row>
    <row s="1645" customFormat="1" customHeight="1" ht="11.549999999999999">
      <c r="A134" s="991"/>
      <c r="B134" s="991"/>
      <c r="C134" s="991"/>
      <c r="D134" s="991"/>
      <c r="E134" s="991"/>
      <c r="F134" s="1640"/>
      <c r="G134" s="1640"/>
      <c r="H134" s="355"/>
      <c r="N134" s="1645"/>
      <c r="O134" s="1645"/>
      <c r="P134" s="1645"/>
      <c r="Q134" s="1645"/>
      <c r="R134" s="1645"/>
      <c r="S134" s="1645"/>
      <c r="T134" s="1370"/>
      <c r="V134" s="1370"/>
      <c r="W134" s="1640"/>
      <c r="X134" s="1640"/>
      <c r="Y134" s="1370"/>
      <c r="Z134" s="1370"/>
      <c r="AA134" s="1370"/>
      <c r="AB134" s="1370"/>
      <c r="AC134" s="1640"/>
      <c r="AD134" s="1370"/>
      <c r="AE134" s="1370"/>
      <c r="AF134" s="548"/>
      <c r="AG134" s="1370"/>
      <c r="AH134" s="1370"/>
      <c r="AI134" s="1370"/>
      <c r="AJ134" s="1370"/>
      <c r="AK134" s="1370"/>
      <c r="AL134" s="1636"/>
      <c r="AM134" s="626"/>
      <c r="AN134" s="626"/>
      <c r="AO134" s="626"/>
      <c r="AP134" s="626"/>
      <c r="AQ134" s="1645">
        <v>11</v>
      </c>
    </row>
    <row s="1645" customFormat="1" customHeight="1" ht="11.549999999999999">
      <c r="A135" s="991"/>
      <c r="B135" s="991"/>
      <c r="C135" s="991"/>
      <c r="D135" s="991"/>
      <c r="E135" s="991"/>
      <c r="F135" s="1640"/>
      <c r="G135" s="1640"/>
      <c r="H135" s="355"/>
      <c r="N135" s="1645"/>
      <c r="O135" s="1645"/>
      <c r="P135" s="1645"/>
      <c r="Q135" s="1645"/>
      <c r="R135" s="1645"/>
      <c r="S135" s="1645"/>
      <c r="T135" s="1370"/>
      <c r="V135" s="1370"/>
      <c r="W135" s="1640"/>
      <c r="X135" s="1640"/>
      <c r="Y135" s="1370"/>
      <c r="Z135" s="1370"/>
      <c r="AA135" s="1370"/>
      <c r="AB135" s="1370"/>
      <c r="AC135" s="1640"/>
      <c r="AD135" s="1370"/>
      <c r="AE135" s="1370"/>
      <c r="AF135" s="548"/>
      <c r="AG135" s="1370"/>
      <c r="AH135" s="1370"/>
      <c r="AI135" s="1370"/>
      <c r="AJ135" s="1370"/>
      <c r="AK135" s="1370"/>
      <c r="AL135" s="1636"/>
      <c r="AM135" s="626"/>
      <c r="AN135" s="626"/>
      <c r="AO135" s="626"/>
      <c r="AP135" s="626"/>
      <c r="AQ135" s="1645">
        <v>11</v>
      </c>
    </row>
    <row s="1645" customFormat="1" customHeight="1" ht="11.549999999999999">
      <c r="A136" s="991"/>
      <c r="B136" s="991"/>
      <c r="C136" s="991"/>
      <c r="D136" s="991"/>
      <c r="E136" s="991"/>
      <c r="F136" s="1640"/>
      <c r="G136" s="1640"/>
      <c r="H136" s="355"/>
      <c r="N136" s="1645"/>
      <c r="O136" s="1645"/>
      <c r="P136" s="1645"/>
      <c r="Q136" s="1645"/>
      <c r="R136" s="1645"/>
      <c r="S136" s="1645"/>
      <c r="T136" s="1370"/>
      <c r="V136" s="1370"/>
      <c r="W136" s="1640"/>
      <c r="X136" s="1640"/>
      <c r="Y136" s="1370"/>
      <c r="Z136" s="1370"/>
      <c r="AA136" s="1370"/>
      <c r="AB136" s="1370"/>
      <c r="AC136" s="1640"/>
      <c r="AD136" s="1370"/>
      <c r="AE136" s="1370"/>
      <c r="AF136" s="548"/>
      <c r="AG136" s="1370"/>
      <c r="AH136" s="1370"/>
      <c r="AI136" s="1370"/>
      <c r="AJ136" s="1370"/>
      <c r="AK136" s="1370"/>
      <c r="AL136" s="1636"/>
      <c r="AM136" s="626"/>
      <c r="AN136" s="626"/>
      <c r="AO136" s="626"/>
      <c r="AP136" s="626"/>
      <c r="AQ136" s="1645">
        <v>11</v>
      </c>
    </row>
    <row s="1645" customFormat="1" customHeight="1" ht="11.549999999999999">
      <c r="A137" s="991"/>
      <c r="B137" s="991"/>
      <c r="C137" s="991"/>
      <c r="D137" s="991"/>
      <c r="E137" s="991"/>
      <c r="F137" s="1640"/>
      <c r="G137" s="1640"/>
      <c r="H137" s="355"/>
      <c r="N137" s="1645"/>
      <c r="O137" s="1645"/>
      <c r="P137" s="1645"/>
      <c r="Q137" s="1645"/>
      <c r="R137" s="1645"/>
      <c r="S137" s="1645"/>
      <c r="T137" s="1370"/>
      <c r="V137" s="1370"/>
      <c r="W137" s="1640"/>
      <c r="X137" s="1640"/>
      <c r="Y137" s="1370"/>
      <c r="Z137" s="1370"/>
      <c r="AA137" s="1370"/>
      <c r="AB137" s="1370"/>
      <c r="AC137" s="1640"/>
      <c r="AD137" s="1370"/>
      <c r="AE137" s="1370"/>
      <c r="AF137" s="548"/>
      <c r="AG137" s="1370"/>
      <c r="AH137" s="1370"/>
      <c r="AI137" s="1370"/>
      <c r="AJ137" s="1370"/>
      <c r="AK137" s="1370"/>
      <c r="AL137" s="1636"/>
      <c r="AM137" s="626"/>
      <c r="AN137" s="626"/>
      <c r="AO137" s="626"/>
      <c r="AP137" s="626"/>
      <c r="AQ137" s="1645">
        <v>11</v>
      </c>
    </row>
    <row s="1645" customFormat="1" customHeight="1" ht="11.549999999999999">
      <c r="A138" s="991"/>
      <c r="B138" s="991"/>
      <c r="C138" s="991"/>
      <c r="D138" s="991"/>
      <c r="E138" s="991"/>
      <c r="F138" s="1640"/>
      <c r="G138" s="1640"/>
      <c r="H138" s="355"/>
      <c r="N138" s="1645"/>
      <c r="O138" s="1645"/>
      <c r="P138" s="1645"/>
      <c r="Q138" s="1645"/>
      <c r="R138" s="1645"/>
      <c r="S138" s="1645"/>
      <c r="T138" s="1370"/>
      <c r="V138" s="1370"/>
      <c r="W138" s="1640"/>
      <c r="X138" s="1640"/>
      <c r="Y138" s="1370"/>
      <c r="Z138" s="1370"/>
      <c r="AA138" s="1370"/>
      <c r="AB138" s="1370"/>
      <c r="AC138" s="1640"/>
      <c r="AD138" s="1370"/>
      <c r="AE138" s="1370"/>
      <c r="AF138" s="548"/>
      <c r="AG138" s="1370"/>
      <c r="AH138" s="1370"/>
      <c r="AI138" s="1370"/>
      <c r="AJ138" s="1370"/>
      <c r="AK138" s="1370"/>
      <c r="AL138" s="1636"/>
      <c r="AM138" s="626"/>
      <c r="AN138" s="626"/>
      <c r="AO138" s="626"/>
      <c r="AP138" s="626"/>
      <c r="AQ138" s="1645">
        <v>11</v>
      </c>
    </row>
    <row s="1645" customFormat="1" customHeight="1" ht="11.549999999999999">
      <c r="A139" s="991"/>
      <c r="B139" s="991"/>
      <c r="C139" s="991"/>
      <c r="D139" s="991"/>
      <c r="E139" s="991"/>
      <c r="F139" s="1640"/>
      <c r="G139" s="1640"/>
      <c r="H139" s="355"/>
      <c r="N139" s="1645"/>
      <c r="O139" s="1645"/>
      <c r="P139" s="1645"/>
      <c r="Q139" s="1645"/>
      <c r="R139" s="1645"/>
      <c r="S139" s="1645"/>
      <c r="T139" s="1370"/>
      <c r="V139" s="1370"/>
      <c r="W139" s="1640"/>
      <c r="X139" s="1640"/>
      <c r="Y139" s="1370"/>
      <c r="Z139" s="1370"/>
      <c r="AA139" s="1370"/>
      <c r="AB139" s="1370"/>
      <c r="AC139" s="1640"/>
      <c r="AD139" s="1370"/>
      <c r="AE139" s="1370"/>
      <c r="AF139" s="548"/>
      <c r="AG139" s="1370"/>
      <c r="AH139" s="1370"/>
      <c r="AI139" s="1370"/>
      <c r="AJ139" s="1370"/>
      <c r="AK139" s="1370"/>
      <c r="AL139" s="1636"/>
      <c r="AM139" s="626"/>
      <c r="AN139" s="626"/>
      <c r="AO139" s="626"/>
      <c r="AP139" s="626"/>
      <c r="AQ139" s="1645">
        <v>11</v>
      </c>
    </row>
    <row s="1645" customFormat="1" customHeight="1" ht="11.549999999999999">
      <c r="A140" s="991"/>
      <c r="B140" s="991"/>
      <c r="C140" s="991"/>
      <c r="D140" s="991"/>
      <c r="E140" s="991"/>
      <c r="F140" s="1640"/>
      <c r="G140" s="1640"/>
      <c r="H140" s="355"/>
      <c r="N140" s="1645"/>
      <c r="O140" s="1645"/>
      <c r="P140" s="1645"/>
      <c r="Q140" s="1645"/>
      <c r="R140" s="1645"/>
      <c r="S140" s="1645"/>
      <c r="T140" s="1370"/>
      <c r="V140" s="1370"/>
      <c r="W140" s="1640"/>
      <c r="X140" s="1640"/>
      <c r="Y140" s="1370"/>
      <c r="Z140" s="1370"/>
      <c r="AA140" s="1370"/>
      <c r="AB140" s="1370"/>
      <c r="AC140" s="1640"/>
      <c r="AD140" s="1370"/>
      <c r="AE140" s="1370"/>
      <c r="AF140" s="548"/>
      <c r="AG140" s="1370"/>
      <c r="AH140" s="1370"/>
      <c r="AI140" s="1370"/>
      <c r="AJ140" s="1370"/>
      <c r="AK140" s="1370"/>
      <c r="AL140" s="1636"/>
      <c r="AM140" s="626"/>
      <c r="AN140" s="626"/>
      <c r="AO140" s="626"/>
      <c r="AP140" s="626"/>
      <c r="AQ140" s="1645">
        <v>11</v>
      </c>
    </row>
    <row s="1645" customFormat="1" customHeight="1" ht="11.549999999999999">
      <c r="A141" s="991"/>
      <c r="B141" s="991"/>
      <c r="C141" s="991"/>
      <c r="D141" s="991"/>
      <c r="E141" s="991"/>
      <c r="F141" s="1640"/>
      <c r="G141" s="1640"/>
      <c r="H141" s="355"/>
      <c r="N141" s="1645"/>
      <c r="O141" s="1645"/>
      <c r="P141" s="1645"/>
      <c r="Q141" s="1645"/>
      <c r="R141" s="1645"/>
      <c r="S141" s="1645"/>
      <c r="T141" s="1370"/>
      <c r="V141" s="1370"/>
      <c r="W141" s="1640"/>
      <c r="X141" s="1640"/>
      <c r="Y141" s="1370"/>
      <c r="Z141" s="1370"/>
      <c r="AA141" s="1370"/>
      <c r="AB141" s="1370"/>
      <c r="AC141" s="1640"/>
      <c r="AD141" s="1370"/>
      <c r="AE141" s="1370"/>
      <c r="AF141" s="548"/>
      <c r="AG141" s="1370"/>
      <c r="AH141" s="1370"/>
      <c r="AI141" s="1370"/>
      <c r="AJ141" s="1370"/>
      <c r="AK141" s="1370"/>
      <c r="AL141" s="1636"/>
      <c r="AM141" s="626"/>
      <c r="AN141" s="626"/>
      <c r="AO141" s="626"/>
      <c r="AP141" s="626"/>
      <c r="AQ141" s="1645">
        <v>11</v>
      </c>
    </row>
    <row s="1645" customFormat="1" customHeight="1" ht="11.549999999999999">
      <c r="A142" s="991"/>
      <c r="B142" s="991"/>
      <c r="C142" s="991"/>
      <c r="D142" s="991"/>
      <c r="E142" s="991"/>
      <c r="F142" s="1640"/>
      <c r="G142" s="1640"/>
      <c r="H142" s="355"/>
      <c r="N142" s="1645"/>
      <c r="O142" s="1645"/>
      <c r="P142" s="1645"/>
      <c r="Q142" s="1645"/>
      <c r="R142" s="1645"/>
      <c r="S142" s="1645"/>
      <c r="T142" s="1370"/>
      <c r="V142" s="1370"/>
      <c r="W142" s="1640"/>
      <c r="X142" s="1640"/>
      <c r="Y142" s="1370"/>
      <c r="Z142" s="1370"/>
      <c r="AA142" s="1370"/>
      <c r="AB142" s="1370"/>
      <c r="AC142" s="1640"/>
      <c r="AD142" s="1370"/>
      <c r="AE142" s="1370"/>
      <c r="AF142" s="548"/>
      <c r="AG142" s="1370"/>
      <c r="AH142" s="1370"/>
      <c r="AI142" s="1370"/>
      <c r="AJ142" s="1370"/>
      <c r="AK142" s="1370"/>
      <c r="AL142" s="1636"/>
      <c r="AM142" s="626"/>
      <c r="AN142" s="626"/>
      <c r="AO142" s="626"/>
      <c r="AP142" s="626"/>
      <c r="AQ142" s="1645">
        <v>11</v>
      </c>
    </row>
    <row s="1645" customFormat="1" customHeight="1" ht="11.549999999999999">
      <c r="A143" s="991"/>
      <c r="B143" s="991"/>
      <c r="C143" s="991"/>
      <c r="D143" s="991"/>
      <c r="E143" s="991"/>
      <c r="F143" s="1640"/>
      <c r="G143" s="1640"/>
      <c r="H143" s="355"/>
      <c r="N143" s="1645"/>
      <c r="O143" s="1645"/>
      <c r="P143" s="1645"/>
      <c r="Q143" s="1645"/>
      <c r="R143" s="1645"/>
      <c r="S143" s="1645"/>
      <c r="T143" s="1370"/>
      <c r="V143" s="1370"/>
      <c r="W143" s="1640"/>
      <c r="X143" s="1640"/>
      <c r="Y143" s="1370"/>
      <c r="Z143" s="1370"/>
      <c r="AA143" s="1370"/>
      <c r="AB143" s="1370"/>
      <c r="AC143" s="1640"/>
      <c r="AD143" s="1370"/>
      <c r="AE143" s="1370"/>
      <c r="AF143" s="548"/>
      <c r="AG143" s="1370"/>
      <c r="AH143" s="1370"/>
      <c r="AI143" s="1370"/>
      <c r="AJ143" s="1370"/>
      <c r="AK143" s="1370"/>
      <c r="AL143" s="1636"/>
      <c r="AM143" s="626"/>
      <c r="AN143" s="626"/>
      <c r="AO143" s="626"/>
      <c r="AP143" s="626"/>
      <c r="AQ143" s="1645">
        <v>11</v>
      </c>
    </row>
    <row s="1645" customFormat="1" customHeight="1" ht="11.549999999999999">
      <c r="A144" s="991"/>
      <c r="B144" s="991"/>
      <c r="C144" s="991"/>
      <c r="D144" s="991"/>
      <c r="E144" s="991"/>
      <c r="F144" s="1640"/>
      <c r="G144" s="1640"/>
      <c r="H144" s="355"/>
      <c r="N144" s="1645"/>
      <c r="O144" s="1645"/>
      <c r="P144" s="1645"/>
      <c r="Q144" s="1645"/>
      <c r="R144" s="1645"/>
      <c r="S144" s="1645"/>
      <c r="T144" s="1370"/>
      <c r="V144" s="1370"/>
      <c r="W144" s="1640"/>
      <c r="X144" s="1640"/>
      <c r="Y144" s="1370"/>
      <c r="Z144" s="1370"/>
      <c r="AA144" s="1370"/>
      <c r="AB144" s="1370"/>
      <c r="AC144" s="1640"/>
      <c r="AD144" s="1370"/>
      <c r="AE144" s="1370"/>
      <c r="AF144" s="548"/>
      <c r="AG144" s="1370"/>
      <c r="AH144" s="1370"/>
      <c r="AI144" s="1370"/>
      <c r="AJ144" s="1370"/>
      <c r="AK144" s="1370"/>
      <c r="AL144" s="1636"/>
      <c r="AM144" s="626"/>
      <c r="AN144" s="626"/>
      <c r="AO144" s="626"/>
      <c r="AP144" s="626"/>
      <c r="AQ144" s="1645">
        <v>11</v>
      </c>
    </row>
    <row s="1645" customFormat="1" customHeight="1" ht="11.549999999999999">
      <c r="A145" s="991"/>
      <c r="B145" s="991"/>
      <c r="C145" s="991"/>
      <c r="D145" s="991"/>
      <c r="E145" s="991"/>
      <c r="F145" s="1640"/>
      <c r="G145" s="1640"/>
      <c r="H145" s="355"/>
      <c r="N145" s="1645"/>
      <c r="O145" s="1645"/>
      <c r="P145" s="1645"/>
      <c r="Q145" s="1645"/>
      <c r="R145" s="1645"/>
      <c r="S145" s="1645"/>
      <c r="T145" s="1370"/>
      <c r="V145" s="1370"/>
      <c r="W145" s="1640"/>
      <c r="X145" s="1640"/>
      <c r="Y145" s="1370"/>
      <c r="Z145" s="1370"/>
      <c r="AA145" s="1370"/>
      <c r="AB145" s="1370"/>
      <c r="AC145" s="1640"/>
      <c r="AD145" s="1370"/>
      <c r="AE145" s="1370"/>
      <c r="AF145" s="548"/>
      <c r="AG145" s="1370"/>
      <c r="AH145" s="1370"/>
      <c r="AI145" s="1370"/>
      <c r="AJ145" s="1370"/>
      <c r="AK145" s="1370"/>
      <c r="AL145" s="1636"/>
      <c r="AM145" s="626"/>
      <c r="AN145" s="626"/>
      <c r="AO145" s="626"/>
      <c r="AP145" s="626"/>
      <c r="AQ145" s="1645">
        <v>11</v>
      </c>
    </row>
    <row s="1645" customFormat="1" customHeight="1" ht="11.549999999999999">
      <c r="A146" s="991"/>
      <c r="B146" s="991"/>
      <c r="C146" s="991"/>
      <c r="D146" s="991"/>
      <c r="E146" s="991"/>
      <c r="F146" s="1640"/>
      <c r="G146" s="1640"/>
      <c r="H146" s="355"/>
      <c r="N146" s="1645"/>
      <c r="O146" s="1645"/>
      <c r="P146" s="1645"/>
      <c r="Q146" s="1645"/>
      <c r="R146" s="1645"/>
      <c r="S146" s="1645"/>
      <c r="T146" s="1370"/>
      <c r="V146" s="1370"/>
      <c r="W146" s="1640"/>
      <c r="X146" s="1640"/>
      <c r="Y146" s="1370"/>
      <c r="Z146" s="1370"/>
      <c r="AA146" s="1370"/>
      <c r="AB146" s="1370"/>
      <c r="AC146" s="1640"/>
      <c r="AD146" s="1370"/>
      <c r="AE146" s="1370"/>
      <c r="AF146" s="548"/>
      <c r="AG146" s="1370"/>
      <c r="AH146" s="1370"/>
      <c r="AI146" s="1370"/>
      <c r="AJ146" s="1370"/>
      <c r="AK146" s="1370"/>
      <c r="AL146" s="1636"/>
      <c r="AM146" s="626"/>
      <c r="AN146" s="626"/>
      <c r="AO146" s="626"/>
      <c r="AP146" s="626"/>
      <c r="AQ146" s="1645">
        <v>11</v>
      </c>
    </row>
    <row s="1645" customFormat="1" customHeight="1" ht="11.549999999999999">
      <c r="A147" s="991"/>
      <c r="B147" s="991"/>
      <c r="C147" s="991"/>
      <c r="D147" s="991"/>
      <c r="E147" s="991"/>
      <c r="F147" s="1640"/>
      <c r="G147" s="1640"/>
      <c r="H147" s="355"/>
      <c r="N147" s="1645"/>
      <c r="O147" s="1645"/>
      <c r="P147" s="1645"/>
      <c r="Q147" s="1645"/>
      <c r="R147" s="1645"/>
      <c r="S147" s="1645"/>
      <c r="T147" s="1370"/>
      <c r="V147" s="1370"/>
      <c r="W147" s="1640"/>
      <c r="X147" s="1640"/>
      <c r="Y147" s="1370"/>
      <c r="Z147" s="1370"/>
      <c r="AA147" s="1370"/>
      <c r="AB147" s="1370"/>
      <c r="AC147" s="1640"/>
      <c r="AD147" s="1370"/>
      <c r="AE147" s="1370"/>
      <c r="AF147" s="548"/>
      <c r="AG147" s="1370"/>
      <c r="AH147" s="1370"/>
      <c r="AI147" s="1370"/>
      <c r="AJ147" s="1370"/>
      <c r="AK147" s="1370"/>
      <c r="AL147" s="1636"/>
      <c r="AM147" s="626"/>
      <c r="AN147" s="626"/>
      <c r="AO147" s="626"/>
      <c r="AP147" s="626"/>
      <c r="AQ147" s="1645">
        <v>11</v>
      </c>
    </row>
    <row s="1645" customFormat="1" customHeight="1" ht="11.549999999999999">
      <c r="A148" s="991"/>
      <c r="B148" s="991"/>
      <c r="C148" s="991"/>
      <c r="D148" s="991"/>
      <c r="E148" s="991"/>
      <c r="F148" s="1640"/>
      <c r="G148" s="1640"/>
      <c r="H148" s="355"/>
      <c r="N148" s="1645"/>
      <c r="O148" s="1645"/>
      <c r="P148" s="1645"/>
      <c r="Q148" s="1645"/>
      <c r="R148" s="1645"/>
      <c r="S148" s="1645"/>
      <c r="T148" s="1370"/>
      <c r="V148" s="1370"/>
      <c r="W148" s="1640"/>
      <c r="X148" s="1640"/>
      <c r="Y148" s="1370"/>
      <c r="Z148" s="1370"/>
      <c r="AA148" s="1370"/>
      <c r="AB148" s="1370"/>
      <c r="AC148" s="1640"/>
      <c r="AD148" s="1370"/>
      <c r="AE148" s="1370"/>
      <c r="AF148" s="548"/>
      <c r="AG148" s="1370"/>
      <c r="AH148" s="1370"/>
      <c r="AI148" s="1370"/>
      <c r="AJ148" s="1370"/>
      <c r="AK148" s="1370"/>
      <c r="AL148" s="1636"/>
      <c r="AM148" s="626"/>
      <c r="AN148" s="626"/>
      <c r="AO148" s="626"/>
      <c r="AP148" s="626"/>
      <c r="AQ148" s="1645">
        <v>11</v>
      </c>
    </row>
    <row s="1645" customFormat="1" customHeight="1" ht="11.549999999999999">
      <c r="A149" s="991"/>
      <c r="B149" s="991"/>
      <c r="C149" s="991"/>
      <c r="D149" s="991"/>
      <c r="E149" s="991"/>
      <c r="F149" s="1640"/>
      <c r="G149" s="1640"/>
      <c r="H149" s="355"/>
      <c r="N149" s="1645"/>
      <c r="O149" s="1645"/>
      <c r="P149" s="1645"/>
      <c r="Q149" s="1645"/>
      <c r="R149" s="1645"/>
      <c r="S149" s="1645"/>
      <c r="T149" s="1370"/>
      <c r="V149" s="1370"/>
      <c r="W149" s="1640"/>
      <c r="X149" s="1640"/>
      <c r="Y149" s="1370"/>
      <c r="Z149" s="1370"/>
      <c r="AA149" s="1370"/>
      <c r="AB149" s="1370"/>
      <c r="AC149" s="1640"/>
      <c r="AD149" s="1370"/>
      <c r="AE149" s="1370"/>
      <c r="AF149" s="548"/>
      <c r="AG149" s="1370"/>
      <c r="AH149" s="1370"/>
      <c r="AI149" s="1370"/>
      <c r="AJ149" s="1370"/>
      <c r="AK149" s="1370"/>
      <c r="AL149" s="1636"/>
      <c r="AM149" s="626"/>
      <c r="AN149" s="626"/>
      <c r="AO149" s="626"/>
      <c r="AP149" s="626"/>
      <c r="AQ149" s="1645">
        <v>11</v>
      </c>
    </row>
    <row s="1645" customFormat="1" customHeight="1" ht="11.549999999999999">
      <c r="A150" s="991"/>
      <c r="B150" s="991"/>
      <c r="C150" s="991"/>
      <c r="D150" s="991"/>
      <c r="E150" s="991"/>
      <c r="F150" s="1640"/>
      <c r="G150" s="1640"/>
      <c r="H150" s="355"/>
      <c r="N150" s="1645"/>
      <c r="O150" s="1645"/>
      <c r="P150" s="1645"/>
      <c r="Q150" s="1645"/>
      <c r="R150" s="1645"/>
      <c r="S150" s="1645"/>
      <c r="T150" s="1370"/>
      <c r="V150" s="1370"/>
      <c r="W150" s="1640"/>
      <c r="X150" s="1640"/>
      <c r="Y150" s="1370"/>
      <c r="Z150" s="1370"/>
      <c r="AA150" s="1370"/>
      <c r="AB150" s="1370"/>
      <c r="AC150" s="1640"/>
      <c r="AD150" s="1370"/>
      <c r="AE150" s="1370"/>
      <c r="AF150" s="548"/>
      <c r="AG150" s="1370"/>
      <c r="AH150" s="1370"/>
      <c r="AI150" s="1370"/>
      <c r="AJ150" s="1370"/>
      <c r="AK150" s="1370"/>
      <c r="AL150" s="1636"/>
      <c r="AM150" s="626"/>
      <c r="AN150" s="626"/>
      <c r="AO150" s="626"/>
      <c r="AP150" s="626"/>
      <c r="AQ150" s="1645">
        <v>11</v>
      </c>
    </row>
    <row s="1645" customFormat="1" customHeight="1" ht="11.549999999999999">
      <c r="A151" s="991"/>
      <c r="B151" s="991"/>
      <c r="C151" s="991"/>
      <c r="D151" s="991"/>
      <c r="E151" s="991"/>
      <c r="F151" s="1640"/>
      <c r="G151" s="1640"/>
      <c r="H151" s="355"/>
      <c r="N151" s="1645"/>
      <c r="O151" s="1645"/>
      <c r="P151" s="1645"/>
      <c r="Q151" s="1645"/>
      <c r="R151" s="1645"/>
      <c r="S151" s="1645"/>
      <c r="T151" s="1370"/>
      <c r="V151" s="1370"/>
      <c r="W151" s="1640"/>
      <c r="X151" s="1640"/>
      <c r="Y151" s="1370"/>
      <c r="Z151" s="1370"/>
      <c r="AA151" s="1370"/>
      <c r="AB151" s="1370"/>
      <c r="AC151" s="1640"/>
      <c r="AD151" s="1370"/>
      <c r="AE151" s="1370"/>
      <c r="AF151" s="548"/>
      <c r="AG151" s="1370"/>
      <c r="AH151" s="1370"/>
      <c r="AI151" s="1370"/>
      <c r="AJ151" s="1370"/>
      <c r="AK151" s="1370"/>
      <c r="AL151" s="1636"/>
      <c r="AM151" s="626"/>
      <c r="AN151" s="626"/>
      <c r="AO151" s="626"/>
      <c r="AP151" s="626"/>
      <c r="AQ151" s="1645">
        <v>11</v>
      </c>
    </row>
    <row s="1645" customFormat="1" customHeight="1" ht="11.549999999999999">
      <c r="A152" s="991"/>
      <c r="B152" s="991"/>
      <c r="C152" s="991"/>
      <c r="D152" s="991"/>
      <c r="E152" s="991"/>
      <c r="F152" s="1640"/>
      <c r="G152" s="1640"/>
      <c r="H152" s="355"/>
      <c r="N152" s="1645"/>
      <c r="O152" s="1645"/>
      <c r="P152" s="1645"/>
      <c r="Q152" s="1645"/>
      <c r="R152" s="1645"/>
      <c r="S152" s="1645"/>
      <c r="T152" s="1370"/>
      <c r="V152" s="1370"/>
      <c r="W152" s="1640"/>
      <c r="X152" s="1640"/>
      <c r="Y152" s="1370"/>
      <c r="Z152" s="1370"/>
      <c r="AA152" s="1370"/>
      <c r="AB152" s="1370"/>
      <c r="AC152" s="1640"/>
      <c r="AD152" s="1370"/>
      <c r="AE152" s="1370"/>
      <c r="AF152" s="548"/>
      <c r="AG152" s="1370"/>
      <c r="AH152" s="1370"/>
      <c r="AI152" s="1370"/>
      <c r="AJ152" s="1370"/>
      <c r="AK152" s="1370"/>
      <c r="AL152" s="1636"/>
      <c r="AM152" s="626"/>
      <c r="AN152" s="626"/>
      <c r="AO152" s="626"/>
      <c r="AP152" s="626"/>
      <c r="AQ152" s="1645">
        <v>11</v>
      </c>
    </row>
    <row s="1645" customFormat="1" customHeight="1" ht="11.549999999999999">
      <c r="A153" s="991"/>
      <c r="B153" s="991"/>
      <c r="C153" s="991"/>
      <c r="D153" s="991"/>
      <c r="E153" s="991"/>
      <c r="F153" s="1640"/>
      <c r="G153" s="1640"/>
      <c r="H153" s="355"/>
      <c r="N153" s="1645"/>
      <c r="O153" s="1645"/>
      <c r="P153" s="1645"/>
      <c r="Q153" s="1645"/>
      <c r="R153" s="1645"/>
      <c r="S153" s="1645"/>
      <c r="T153" s="1370"/>
      <c r="V153" s="1370"/>
      <c r="W153" s="1640"/>
      <c r="X153" s="1640"/>
      <c r="Y153" s="1370"/>
      <c r="Z153" s="1370"/>
      <c r="AA153" s="1370"/>
      <c r="AB153" s="1370"/>
      <c r="AC153" s="1640"/>
      <c r="AD153" s="1370"/>
      <c r="AE153" s="1370"/>
      <c r="AF153" s="548"/>
      <c r="AG153" s="1370"/>
      <c r="AH153" s="1370"/>
      <c r="AI153" s="1370"/>
      <c r="AJ153" s="1370"/>
      <c r="AK153" s="1370"/>
      <c r="AL153" s="1636"/>
      <c r="AM153" s="626"/>
      <c r="AN153" s="626"/>
      <c r="AO153" s="626"/>
      <c r="AP153" s="626"/>
      <c r="AQ153" s="1645">
        <v>11</v>
      </c>
    </row>
    <row s="1645" customFormat="1" customHeight="1" ht="11.549999999999999">
      <c r="A154" s="991"/>
      <c r="B154" s="991"/>
      <c r="C154" s="991"/>
      <c r="D154" s="991"/>
      <c r="E154" s="991"/>
      <c r="F154" s="1640"/>
      <c r="G154" s="1640"/>
      <c r="H154" s="355"/>
      <c r="N154" s="1645"/>
      <c r="O154" s="1645"/>
      <c r="P154" s="1645"/>
      <c r="Q154" s="1645"/>
      <c r="R154" s="1645"/>
      <c r="S154" s="1645"/>
      <c r="T154" s="1370"/>
      <c r="V154" s="1370"/>
      <c r="W154" s="1640"/>
      <c r="X154" s="1640"/>
      <c r="Y154" s="1370"/>
      <c r="Z154" s="1370"/>
      <c r="AA154" s="1370"/>
      <c r="AB154" s="1370"/>
      <c r="AC154" s="1640"/>
      <c r="AD154" s="1370"/>
      <c r="AE154" s="1370"/>
      <c r="AF154" s="548"/>
      <c r="AG154" s="1370"/>
      <c r="AH154" s="1370"/>
      <c r="AI154" s="1370"/>
      <c r="AJ154" s="1370"/>
      <c r="AK154" s="1370"/>
      <c r="AL154" s="1636"/>
      <c r="AM154" s="626"/>
      <c r="AN154" s="626"/>
      <c r="AO154" s="626"/>
      <c r="AP154" s="626"/>
      <c r="AQ154" s="1645">
        <v>11</v>
      </c>
    </row>
    <row s="1645" customFormat="1" customHeight="1" ht="11.549999999999999">
      <c r="A155" s="991"/>
      <c r="B155" s="991"/>
      <c r="C155" s="991"/>
      <c r="D155" s="991"/>
      <c r="E155" s="991"/>
      <c r="F155" s="1640"/>
      <c r="G155" s="1640"/>
      <c r="H155" s="355"/>
      <c r="N155" s="1645"/>
      <c r="O155" s="1645"/>
      <c r="P155" s="1645"/>
      <c r="Q155" s="1645"/>
      <c r="R155" s="1645"/>
      <c r="S155" s="1645"/>
      <c r="T155" s="1370"/>
      <c r="V155" s="1370"/>
      <c r="W155" s="1640"/>
      <c r="X155" s="1640"/>
      <c r="Y155" s="1370"/>
      <c r="Z155" s="1370"/>
      <c r="AA155" s="1370"/>
      <c r="AB155" s="1370"/>
      <c r="AC155" s="1640"/>
      <c r="AD155" s="1370"/>
      <c r="AE155" s="1370"/>
      <c r="AF155" s="548"/>
      <c r="AG155" s="1370"/>
      <c r="AH155" s="1370"/>
      <c r="AI155" s="1370"/>
      <c r="AJ155" s="1370"/>
      <c r="AK155" s="1370"/>
      <c r="AL155" s="1636"/>
      <c r="AM155" s="626"/>
      <c r="AN155" s="626"/>
      <c r="AO155" s="626"/>
      <c r="AP155" s="626"/>
      <c r="AQ155" s="1645">
        <v>11</v>
      </c>
    </row>
    <row s="1645" customFormat="1" customHeight="1" ht="11.549999999999999">
      <c r="A156" s="991"/>
      <c r="B156" s="991"/>
      <c r="C156" s="991"/>
      <c r="D156" s="991"/>
      <c r="E156" s="991"/>
      <c r="F156" s="1640"/>
      <c r="G156" s="1640"/>
      <c r="H156" s="355"/>
      <c r="N156" s="1645"/>
      <c r="O156" s="1645"/>
      <c r="P156" s="1645"/>
      <c r="Q156" s="1645"/>
      <c r="R156" s="1645"/>
      <c r="S156" s="1645"/>
      <c r="T156" s="1370"/>
      <c r="V156" s="1370"/>
      <c r="W156" s="1640"/>
      <c r="X156" s="1640"/>
      <c r="Y156" s="1370"/>
      <c r="Z156" s="1370"/>
      <c r="AA156" s="1370"/>
      <c r="AB156" s="1370"/>
      <c r="AC156" s="1640"/>
      <c r="AD156" s="1370"/>
      <c r="AE156" s="1370"/>
      <c r="AF156" s="548"/>
      <c r="AG156" s="1370"/>
      <c r="AH156" s="1370"/>
      <c r="AI156" s="1370"/>
      <c r="AJ156" s="1370"/>
      <c r="AK156" s="1370"/>
      <c r="AL156" s="1636"/>
      <c r="AM156" s="626"/>
      <c r="AN156" s="626"/>
      <c r="AO156" s="626"/>
      <c r="AP156" s="626"/>
      <c r="AQ156" s="1645">
        <v>11</v>
      </c>
    </row>
    <row s="1645" customFormat="1" customHeight="1" ht="11.549999999999999">
      <c r="A157" s="991"/>
      <c r="B157" s="991"/>
      <c r="C157" s="991"/>
      <c r="D157" s="991"/>
      <c r="E157" s="991"/>
      <c r="F157" s="1640"/>
      <c r="G157" s="1640"/>
      <c r="H157" s="355"/>
      <c r="N157" s="1645"/>
      <c r="O157" s="1645"/>
      <c r="P157" s="1645"/>
      <c r="Q157" s="1645"/>
      <c r="R157" s="1645"/>
      <c r="S157" s="1645"/>
      <c r="T157" s="1370"/>
      <c r="V157" s="1370"/>
      <c r="W157" s="1640"/>
      <c r="X157" s="1640"/>
      <c r="Y157" s="1370"/>
      <c r="Z157" s="1370"/>
      <c r="AA157" s="1370"/>
      <c r="AB157" s="1370"/>
      <c r="AC157" s="1640"/>
      <c r="AD157" s="1370"/>
      <c r="AE157" s="1370"/>
      <c r="AF157" s="548"/>
      <c r="AG157" s="1370"/>
      <c r="AH157" s="1370"/>
      <c r="AI157" s="1370"/>
      <c r="AJ157" s="1370"/>
      <c r="AK157" s="1370"/>
      <c r="AL157" s="1636"/>
      <c r="AM157" s="626"/>
      <c r="AN157" s="626"/>
      <c r="AO157" s="626"/>
      <c r="AP157" s="626"/>
      <c r="AQ157" s="1645">
        <v>11</v>
      </c>
    </row>
    <row s="1645" customFormat="1" customHeight="1" ht="11.549999999999999">
      <c r="A158" s="991"/>
      <c r="B158" s="991"/>
      <c r="C158" s="991"/>
      <c r="D158" s="991"/>
      <c r="E158" s="991"/>
      <c r="F158" s="1640"/>
      <c r="G158" s="1640"/>
      <c r="H158" s="355"/>
      <c r="N158" s="1645"/>
      <c r="O158" s="1645"/>
      <c r="P158" s="1645"/>
      <c r="Q158" s="1645"/>
      <c r="R158" s="1645"/>
      <c r="S158" s="1645"/>
      <c r="T158" s="1370"/>
      <c r="V158" s="1370"/>
      <c r="W158" s="1640"/>
      <c r="X158" s="1640"/>
      <c r="Y158" s="1370"/>
      <c r="Z158" s="1370"/>
      <c r="AA158" s="1370"/>
      <c r="AB158" s="1370"/>
      <c r="AC158" s="1640"/>
      <c r="AD158" s="1370"/>
      <c r="AE158" s="1370"/>
      <c r="AF158" s="548"/>
      <c r="AG158" s="1370"/>
      <c r="AH158" s="1370"/>
      <c r="AI158" s="1370"/>
      <c r="AJ158" s="1370"/>
      <c r="AK158" s="1370"/>
      <c r="AL158" s="1636"/>
      <c r="AM158" s="626"/>
      <c r="AN158" s="626"/>
      <c r="AO158" s="626"/>
      <c r="AP158" s="626"/>
      <c r="AQ158" s="1645">
        <v>11</v>
      </c>
    </row>
    <row s="1645" customFormat="1" customHeight="1" ht="11.549999999999999">
      <c r="A159" s="991"/>
      <c r="B159" s="991"/>
      <c r="C159" s="991"/>
      <c r="D159" s="991"/>
      <c r="E159" s="991"/>
      <c r="F159" s="1640"/>
      <c r="G159" s="1640"/>
      <c r="H159" s="355"/>
      <c r="N159" s="1645"/>
      <c r="O159" s="1645"/>
      <c r="P159" s="1645"/>
      <c r="Q159" s="1645"/>
      <c r="R159" s="1645"/>
      <c r="S159" s="1645"/>
      <c r="T159" s="1370"/>
      <c r="V159" s="1370"/>
      <c r="W159" s="1640"/>
      <c r="X159" s="1640"/>
      <c r="Y159" s="1370"/>
      <c r="Z159" s="1370"/>
      <c r="AA159" s="1370"/>
      <c r="AB159" s="1370"/>
      <c r="AC159" s="1640"/>
      <c r="AD159" s="1370"/>
      <c r="AE159" s="1370"/>
      <c r="AF159" s="548"/>
      <c r="AG159" s="1370"/>
      <c r="AH159" s="1370"/>
      <c r="AI159" s="1370"/>
      <c r="AJ159" s="1370"/>
      <c r="AK159" s="1370"/>
      <c r="AL159" s="1636"/>
      <c r="AM159" s="626"/>
      <c r="AN159" s="626"/>
      <c r="AO159" s="626"/>
      <c r="AP159" s="626"/>
      <c r="AQ159" s="1645">
        <v>11</v>
      </c>
    </row>
    <row s="1645" customFormat="1" customHeight="1" ht="11.549999999999999">
      <c r="A160" s="991"/>
      <c r="B160" s="991"/>
      <c r="C160" s="991"/>
      <c r="D160" s="991"/>
      <c r="E160" s="991"/>
      <c r="F160" s="1640"/>
      <c r="G160" s="1640"/>
      <c r="H160" s="355"/>
      <c r="N160" s="1645"/>
      <c r="O160" s="1645"/>
      <c r="P160" s="1645"/>
      <c r="Q160" s="1645"/>
      <c r="R160" s="1645"/>
      <c r="S160" s="1645"/>
      <c r="T160" s="1370"/>
      <c r="V160" s="1370"/>
      <c r="W160" s="1640"/>
      <c r="X160" s="1640"/>
      <c r="Y160" s="1370"/>
      <c r="Z160" s="1370"/>
      <c r="AA160" s="1370"/>
      <c r="AB160" s="1370"/>
      <c r="AC160" s="1640"/>
      <c r="AD160" s="1370"/>
      <c r="AE160" s="1370"/>
      <c r="AF160" s="548"/>
      <c r="AG160" s="1370"/>
      <c r="AH160" s="1370"/>
      <c r="AI160" s="1370"/>
      <c r="AJ160" s="1370"/>
      <c r="AK160" s="1370"/>
      <c r="AL160" s="1636"/>
      <c r="AM160" s="626"/>
      <c r="AN160" s="626"/>
      <c r="AO160" s="626"/>
      <c r="AP160" s="626"/>
      <c r="AQ160" s="1645">
        <v>11</v>
      </c>
    </row>
    <row s="1645" customFormat="1" customHeight="1" ht="11.549999999999999">
      <c r="A161" s="991"/>
      <c r="B161" s="991"/>
      <c r="C161" s="991"/>
      <c r="D161" s="991"/>
      <c r="E161" s="991"/>
      <c r="F161" s="1640"/>
      <c r="G161" s="1640"/>
      <c r="H161" s="355"/>
      <c r="N161" s="1645"/>
      <c r="O161" s="1645"/>
      <c r="P161" s="1645"/>
      <c r="Q161" s="1645"/>
      <c r="R161" s="1645"/>
      <c r="S161" s="1645"/>
      <c r="T161" s="1370"/>
      <c r="V161" s="1370"/>
      <c r="W161" s="1640"/>
      <c r="X161" s="1640"/>
      <c r="Y161" s="1370"/>
      <c r="Z161" s="1370"/>
      <c r="AA161" s="1370"/>
      <c r="AB161" s="1370"/>
      <c r="AC161" s="1640"/>
      <c r="AD161" s="1370"/>
      <c r="AE161" s="1370"/>
      <c r="AF161" s="548"/>
      <c r="AG161" s="1370"/>
      <c r="AH161" s="1370"/>
      <c r="AI161" s="1370"/>
      <c r="AJ161" s="1370"/>
      <c r="AK161" s="1370"/>
      <c r="AL161" s="1636"/>
      <c r="AM161" s="626"/>
      <c r="AN161" s="626"/>
      <c r="AO161" s="626"/>
      <c r="AP161" s="626"/>
      <c r="AQ161" s="1645">
        <v>11</v>
      </c>
    </row>
    <row s="1645" customFormat="1" customHeight="1" ht="11.549999999999999">
      <c r="A162" s="991"/>
      <c r="B162" s="991"/>
      <c r="C162" s="991"/>
      <c r="D162" s="991"/>
      <c r="E162" s="991"/>
      <c r="F162" s="1640"/>
      <c r="G162" s="1640"/>
      <c r="H162" s="355"/>
      <c r="N162" s="1645"/>
      <c r="O162" s="1645"/>
      <c r="P162" s="1645"/>
      <c r="Q162" s="1645"/>
      <c r="R162" s="1645"/>
      <c r="S162" s="1645"/>
      <c r="T162" s="1370"/>
      <c r="V162" s="1370"/>
      <c r="W162" s="1640"/>
      <c r="X162" s="1640"/>
      <c r="Y162" s="1370"/>
      <c r="Z162" s="1370"/>
      <c r="AA162" s="1370"/>
      <c r="AB162" s="1370"/>
      <c r="AC162" s="1640"/>
      <c r="AD162" s="1370"/>
      <c r="AE162" s="1370"/>
      <c r="AF162" s="548"/>
      <c r="AG162" s="1370"/>
      <c r="AH162" s="1370"/>
      <c r="AI162" s="1370"/>
      <c r="AJ162" s="1370"/>
      <c r="AK162" s="1370"/>
      <c r="AL162" s="1636"/>
      <c r="AM162" s="626"/>
      <c r="AN162" s="626"/>
      <c r="AO162" s="626"/>
      <c r="AP162" s="626"/>
      <c r="AQ162" s="1645">
        <v>11</v>
      </c>
    </row>
    <row s="1645" customFormat="1" customHeight="1" ht="11.549999999999999">
      <c r="A163" s="991"/>
      <c r="B163" s="991"/>
      <c r="C163" s="991"/>
      <c r="D163" s="991"/>
      <c r="E163" s="991"/>
      <c r="F163" s="1640"/>
      <c r="G163" s="1640"/>
      <c r="H163" s="355"/>
      <c r="N163" s="1645"/>
      <c r="O163" s="1645"/>
      <c r="P163" s="1645"/>
      <c r="Q163" s="1645"/>
      <c r="R163" s="1645"/>
      <c r="S163" s="1645"/>
      <c r="T163" s="1370"/>
      <c r="V163" s="1370"/>
      <c r="W163" s="1640"/>
      <c r="X163" s="1640"/>
      <c r="Y163" s="1370"/>
      <c r="Z163" s="1370"/>
      <c r="AA163" s="1370"/>
      <c r="AB163" s="1370"/>
      <c r="AC163" s="1640"/>
      <c r="AD163" s="1370"/>
      <c r="AE163" s="1370"/>
      <c r="AF163" s="548"/>
      <c r="AG163" s="1370"/>
      <c r="AH163" s="1370"/>
      <c r="AI163" s="1370"/>
      <c r="AJ163" s="1370"/>
      <c r="AK163" s="1370"/>
      <c r="AL163" s="1636"/>
      <c r="AM163" s="626"/>
      <c r="AN163" s="626"/>
      <c r="AO163" s="626"/>
      <c r="AP163" s="626"/>
      <c r="AQ163" s="1645">
        <v>11</v>
      </c>
    </row>
    <row s="1645" customFormat="1" customHeight="1" ht="11.549999999999999">
      <c r="A164" s="991"/>
      <c r="B164" s="991"/>
      <c r="C164" s="991"/>
      <c r="D164" s="991"/>
      <c r="E164" s="991"/>
      <c r="F164" s="1640"/>
      <c r="G164" s="1640"/>
      <c r="H164" s="355"/>
      <c r="N164" s="1645"/>
      <c r="O164" s="1645"/>
      <c r="P164" s="1645"/>
      <c r="Q164" s="1645"/>
      <c r="R164" s="1645"/>
      <c r="S164" s="1645"/>
      <c r="T164" s="1370"/>
      <c r="V164" s="1370"/>
      <c r="W164" s="1640"/>
      <c r="X164" s="1640"/>
      <c r="Y164" s="1370"/>
      <c r="Z164" s="1370"/>
      <c r="AA164" s="1370"/>
      <c r="AB164" s="1370"/>
      <c r="AC164" s="1640"/>
      <c r="AD164" s="1370"/>
      <c r="AE164" s="1370"/>
      <c r="AF164" s="548"/>
      <c r="AG164" s="1370"/>
      <c r="AH164" s="1370"/>
      <c r="AI164" s="1370"/>
      <c r="AJ164" s="1370"/>
      <c r="AK164" s="1370"/>
      <c r="AL164" s="1636"/>
      <c r="AM164" s="626"/>
      <c r="AN164" s="626"/>
      <c r="AO164" s="626"/>
      <c r="AP164" s="626"/>
      <c r="AQ164" s="1645">
        <v>11</v>
      </c>
    </row>
    <row s="1645" customFormat="1" customHeight="1" ht="11.549999999999999">
      <c r="A165" s="991"/>
      <c r="B165" s="991"/>
      <c r="C165" s="991"/>
      <c r="D165" s="991"/>
      <c r="E165" s="991"/>
      <c r="F165" s="1640"/>
      <c r="G165" s="1640"/>
      <c r="H165" s="355"/>
      <c r="N165" s="1645"/>
      <c r="O165" s="1645"/>
      <c r="P165" s="1645"/>
      <c r="Q165" s="1645"/>
      <c r="R165" s="1645"/>
      <c r="S165" s="1645"/>
      <c r="T165" s="1370"/>
      <c r="V165" s="1370"/>
      <c r="W165" s="1640"/>
      <c r="X165" s="1640"/>
      <c r="Y165" s="1370"/>
      <c r="Z165" s="1370"/>
      <c r="AA165" s="1370"/>
      <c r="AB165" s="1370"/>
      <c r="AC165" s="1640"/>
      <c r="AD165" s="1370"/>
      <c r="AE165" s="1370"/>
      <c r="AF165" s="548"/>
      <c r="AG165" s="1370"/>
      <c r="AH165" s="1370"/>
      <c r="AI165" s="1370"/>
      <c r="AJ165" s="1370"/>
      <c r="AK165" s="1370"/>
      <c r="AL165" s="1636"/>
      <c r="AM165" s="626"/>
      <c r="AN165" s="626"/>
      <c r="AO165" s="626"/>
      <c r="AP165" s="626"/>
      <c r="AQ165" s="1645">
        <v>11</v>
      </c>
    </row>
    <row s="1645" customFormat="1" customHeight="1" ht="11.549999999999999">
      <c r="A166" s="991"/>
      <c r="B166" s="991"/>
      <c r="C166" s="991"/>
      <c r="D166" s="991"/>
      <c r="E166" s="991"/>
      <c r="F166" s="1640"/>
      <c r="G166" s="1640"/>
      <c r="H166" s="355"/>
      <c r="N166" s="1645"/>
      <c r="O166" s="1645"/>
      <c r="P166" s="1645"/>
      <c r="Q166" s="1645"/>
      <c r="R166" s="1645"/>
      <c r="S166" s="1645"/>
      <c r="T166" s="1370"/>
      <c r="V166" s="1370"/>
      <c r="W166" s="1640"/>
      <c r="X166" s="1640"/>
      <c r="Y166" s="1370"/>
      <c r="Z166" s="1370"/>
      <c r="AA166" s="1370"/>
      <c r="AB166" s="1370"/>
      <c r="AC166" s="1640"/>
      <c r="AD166" s="1370"/>
      <c r="AE166" s="1370"/>
      <c r="AF166" s="548"/>
      <c r="AG166" s="1370"/>
      <c r="AH166" s="1370"/>
      <c r="AI166" s="1370"/>
      <c r="AJ166" s="1370"/>
      <c r="AK166" s="1370"/>
      <c r="AL166" s="1636"/>
      <c r="AM166" s="626"/>
      <c r="AN166" s="626"/>
      <c r="AO166" s="626"/>
      <c r="AP166" s="626"/>
      <c r="AQ166" s="1645">
        <v>11</v>
      </c>
    </row>
    <row s="1645" customFormat="1" customHeight="1" ht="11.549999999999999">
      <c r="A167" s="991"/>
      <c r="B167" s="991"/>
      <c r="C167" s="991"/>
      <c r="D167" s="991"/>
      <c r="E167" s="991"/>
      <c r="F167" s="1640"/>
      <c r="G167" s="1640"/>
      <c r="H167" s="355"/>
      <c r="N167" s="1645"/>
      <c r="O167" s="1645"/>
      <c r="P167" s="1645"/>
      <c r="Q167" s="1645"/>
      <c r="R167" s="1645"/>
      <c r="S167" s="1645"/>
      <c r="T167" s="1370"/>
      <c r="V167" s="1370"/>
      <c r="W167" s="1640"/>
      <c r="X167" s="1640"/>
      <c r="Y167" s="1370"/>
      <c r="Z167" s="1370"/>
      <c r="AA167" s="1370"/>
      <c r="AB167" s="1370"/>
      <c r="AC167" s="1640"/>
      <c r="AD167" s="1370"/>
      <c r="AE167" s="1370"/>
      <c r="AF167" s="548"/>
      <c r="AG167" s="1370"/>
      <c r="AH167" s="1370"/>
      <c r="AI167" s="1370"/>
      <c r="AJ167" s="1370"/>
      <c r="AK167" s="1370"/>
      <c r="AL167" s="1636"/>
      <c r="AM167" s="626"/>
      <c r="AN167" s="626"/>
      <c r="AO167" s="626"/>
      <c r="AP167" s="626"/>
      <c r="AQ167" s="1645">
        <v>11</v>
      </c>
    </row>
    <row s="1645" customFormat="1" customHeight="1" ht="11.549999999999999">
      <c r="A168" s="991"/>
      <c r="B168" s="991"/>
      <c r="C168" s="991"/>
      <c r="D168" s="991"/>
      <c r="E168" s="991"/>
      <c r="F168" s="1640"/>
      <c r="G168" s="1640"/>
      <c r="H168" s="355"/>
      <c r="N168" s="1645"/>
      <c r="O168" s="1645"/>
      <c r="P168" s="1645"/>
      <c r="Q168" s="1645"/>
      <c r="R168" s="1645"/>
      <c r="S168" s="1645"/>
      <c r="T168" s="1370"/>
      <c r="V168" s="1370"/>
      <c r="W168" s="1640"/>
      <c r="X168" s="1640"/>
      <c r="Y168" s="1370"/>
      <c r="Z168" s="1370"/>
      <c r="AA168" s="1370"/>
      <c r="AB168" s="1370"/>
      <c r="AC168" s="1640"/>
      <c r="AD168" s="1370"/>
      <c r="AE168" s="1370"/>
      <c r="AF168" s="548"/>
      <c r="AG168" s="1370"/>
      <c r="AH168" s="1370"/>
      <c r="AI168" s="1370"/>
      <c r="AJ168" s="1370"/>
      <c r="AK168" s="1370"/>
      <c r="AL168" s="1636"/>
      <c r="AM168" s="626"/>
      <c r="AN168" s="626"/>
      <c r="AO168" s="626"/>
      <c r="AP168" s="626"/>
      <c r="AQ168" s="1645">
        <v>11</v>
      </c>
    </row>
    <row s="1645" customFormat="1" customHeight="1" ht="11.549999999999999">
      <c r="A169" s="991"/>
      <c r="B169" s="991"/>
      <c r="C169" s="991"/>
      <c r="D169" s="991"/>
      <c r="E169" s="991"/>
      <c r="F169" s="1640"/>
      <c r="G169" s="1640"/>
      <c r="H169" s="355"/>
      <c r="N169" s="1645"/>
      <c r="O169" s="1645"/>
      <c r="P169" s="1645"/>
      <c r="Q169" s="1645"/>
      <c r="R169" s="1645"/>
      <c r="S169" s="1645"/>
      <c r="T169" s="1370"/>
      <c r="V169" s="1370"/>
      <c r="W169" s="1640"/>
      <c r="X169" s="1640"/>
      <c r="Y169" s="1370"/>
      <c r="Z169" s="1370"/>
      <c r="AA169" s="1370"/>
      <c r="AB169" s="1370"/>
      <c r="AC169" s="1640"/>
      <c r="AD169" s="1370"/>
      <c r="AE169" s="1370"/>
      <c r="AF169" s="548"/>
      <c r="AG169" s="1370"/>
      <c r="AH169" s="1370"/>
      <c r="AI169" s="1370"/>
      <c r="AJ169" s="1370"/>
      <c r="AK169" s="1370"/>
      <c r="AL169" s="1636"/>
      <c r="AM169" s="626"/>
      <c r="AN169" s="626"/>
      <c r="AO169" s="626"/>
      <c r="AP169" s="626"/>
      <c r="AQ169" s="1645">
        <v>11</v>
      </c>
    </row>
    <row s="1645" customFormat="1" customHeight="1" ht="11.549999999999999">
      <c r="A170" s="991"/>
      <c r="B170" s="991"/>
      <c r="C170" s="991"/>
      <c r="D170" s="991"/>
      <c r="E170" s="991"/>
      <c r="F170" s="1640"/>
      <c r="G170" s="1640"/>
      <c r="H170" s="355"/>
      <c r="N170" s="1645"/>
      <c r="O170" s="1645"/>
      <c r="P170" s="1645"/>
      <c r="Q170" s="1645"/>
      <c r="R170" s="1645"/>
      <c r="S170" s="1645"/>
      <c r="T170" s="1370"/>
      <c r="V170" s="1370"/>
      <c r="W170" s="1640"/>
      <c r="X170" s="1640"/>
      <c r="Y170" s="1370"/>
      <c r="Z170" s="1370"/>
      <c r="AA170" s="1370"/>
      <c r="AB170" s="1370"/>
      <c r="AC170" s="1640"/>
      <c r="AD170" s="1370"/>
      <c r="AE170" s="1370"/>
      <c r="AF170" s="548"/>
      <c r="AG170" s="1370"/>
      <c r="AH170" s="1370"/>
      <c r="AI170" s="1370"/>
      <c r="AJ170" s="1370"/>
      <c r="AK170" s="1370"/>
      <c r="AL170" s="1636"/>
      <c r="AM170" s="626"/>
      <c r="AN170" s="626"/>
      <c r="AO170" s="626"/>
      <c r="AP170" s="626"/>
      <c r="AQ170" s="1645">
        <v>11</v>
      </c>
    </row>
    <row s="1645" customFormat="1" customHeight="1" ht="11.549999999999999">
      <c r="A171" s="991"/>
      <c r="B171" s="991"/>
      <c r="C171" s="991"/>
      <c r="D171" s="991"/>
      <c r="E171" s="991"/>
      <c r="F171" s="1640"/>
      <c r="G171" s="1640"/>
      <c r="H171" s="355"/>
      <c r="N171" s="1645"/>
      <c r="O171" s="1645"/>
      <c r="P171" s="1645"/>
      <c r="Q171" s="1645"/>
      <c r="R171" s="1645"/>
      <c r="S171" s="1645"/>
      <c r="T171" s="1370"/>
      <c r="V171" s="1370"/>
      <c r="W171" s="1640"/>
      <c r="X171" s="1640"/>
      <c r="Y171" s="1370"/>
      <c r="Z171" s="1370"/>
      <c r="AA171" s="1370"/>
      <c r="AB171" s="1370"/>
      <c r="AC171" s="1640"/>
      <c r="AD171" s="1370"/>
      <c r="AE171" s="1370"/>
      <c r="AF171" s="548"/>
      <c r="AG171" s="1370"/>
      <c r="AH171" s="1370"/>
      <c r="AI171" s="1370"/>
      <c r="AJ171" s="1370"/>
      <c r="AK171" s="1370"/>
      <c r="AL171" s="1636"/>
      <c r="AM171" s="626"/>
      <c r="AN171" s="626"/>
      <c r="AO171" s="626"/>
      <c r="AP171" s="626"/>
      <c r="AQ171" s="1645">
        <v>11</v>
      </c>
    </row>
    <row s="1645" customFormat="1" customHeight="1" ht="11.549999999999999">
      <c r="A172" s="991"/>
      <c r="B172" s="991"/>
      <c r="C172" s="991"/>
      <c r="D172" s="991"/>
      <c r="E172" s="991"/>
      <c r="F172" s="1640"/>
      <c r="G172" s="1640"/>
      <c r="H172" s="355"/>
      <c r="N172" s="1645"/>
      <c r="O172" s="1645"/>
      <c r="P172" s="1645"/>
      <c r="Q172" s="1645"/>
      <c r="R172" s="1645"/>
      <c r="S172" s="1645"/>
      <c r="T172" s="1370"/>
      <c r="V172" s="1370"/>
      <c r="W172" s="1640"/>
      <c r="X172" s="1640"/>
      <c r="Y172" s="1370"/>
      <c r="Z172" s="1370"/>
      <c r="AA172" s="1370"/>
      <c r="AB172" s="1370"/>
      <c r="AC172" s="1640"/>
      <c r="AD172" s="1370"/>
      <c r="AE172" s="1370"/>
      <c r="AF172" s="548"/>
      <c r="AG172" s="1370"/>
      <c r="AH172" s="1370"/>
      <c r="AI172" s="1370"/>
      <c r="AJ172" s="1370"/>
      <c r="AK172" s="1370"/>
      <c r="AL172" s="1636"/>
      <c r="AM172" s="626"/>
      <c r="AN172" s="626"/>
      <c r="AO172" s="626"/>
      <c r="AP172" s="626"/>
      <c r="AQ172" s="1645">
        <v>11</v>
      </c>
    </row>
    <row s="1645" customFormat="1" customHeight="1" ht="11.549999999999999">
      <c r="A173" s="991"/>
      <c r="B173" s="991"/>
      <c r="C173" s="991"/>
      <c r="D173" s="991"/>
      <c r="E173" s="991"/>
      <c r="F173" s="1640"/>
      <c r="G173" s="1640"/>
      <c r="H173" s="355"/>
      <c r="N173" s="1645"/>
      <c r="O173" s="1645"/>
      <c r="P173" s="1645"/>
      <c r="Q173" s="1645"/>
      <c r="R173" s="1645"/>
      <c r="S173" s="1645"/>
      <c r="T173" s="1370"/>
      <c r="V173" s="1370"/>
      <c r="W173" s="1640"/>
      <c r="X173" s="1640"/>
      <c r="Y173" s="1370"/>
      <c r="Z173" s="1370"/>
      <c r="AA173" s="1370"/>
      <c r="AB173" s="1370"/>
      <c r="AC173" s="1640"/>
      <c r="AD173" s="1370"/>
      <c r="AE173" s="1370"/>
      <c r="AF173" s="548"/>
      <c r="AG173" s="1370"/>
      <c r="AH173" s="1370"/>
      <c r="AI173" s="1370"/>
      <c r="AJ173" s="1370"/>
      <c r="AK173" s="1370"/>
      <c r="AL173" s="1636"/>
      <c r="AM173" s="626"/>
      <c r="AN173" s="626"/>
      <c r="AO173" s="626"/>
      <c r="AP173" s="626"/>
      <c r="AQ173" s="1645">
        <v>11</v>
      </c>
    </row>
    <row s="1645" customFormat="1" customHeight="1" ht="11.549999999999999">
      <c r="A174" s="991"/>
      <c r="B174" s="991"/>
      <c r="C174" s="991"/>
      <c r="D174" s="991"/>
      <c r="E174" s="991"/>
      <c r="F174" s="1640"/>
      <c r="G174" s="1640"/>
      <c r="H174" s="355"/>
      <c r="N174" s="1645"/>
      <c r="O174" s="1645"/>
      <c r="P174" s="1645"/>
      <c r="Q174" s="1645"/>
      <c r="R174" s="1645"/>
      <c r="S174" s="1645"/>
      <c r="T174" s="1370"/>
      <c r="V174" s="1370"/>
      <c r="W174" s="1640"/>
      <c r="X174" s="1640"/>
      <c r="Y174" s="1370"/>
      <c r="Z174" s="1370"/>
      <c r="AA174" s="1370"/>
      <c r="AB174" s="1370"/>
      <c r="AC174" s="1640"/>
      <c r="AD174" s="1370"/>
      <c r="AE174" s="1370"/>
      <c r="AF174" s="548"/>
      <c r="AG174" s="1370"/>
      <c r="AH174" s="1370"/>
      <c r="AI174" s="1370"/>
      <c r="AJ174" s="1370"/>
      <c r="AK174" s="1370"/>
      <c r="AL174" s="1636"/>
      <c r="AM174" s="626"/>
      <c r="AN174" s="626"/>
      <c r="AO174" s="626"/>
      <c r="AP174" s="626"/>
      <c r="AQ174" s="1645">
        <v>11</v>
      </c>
    </row>
    <row s="1645" customFormat="1" customHeight="1" ht="11.549999999999999">
      <c r="A175" s="991"/>
      <c r="B175" s="991"/>
      <c r="C175" s="991"/>
      <c r="D175" s="991"/>
      <c r="E175" s="991"/>
      <c r="F175" s="1640"/>
      <c r="G175" s="1640"/>
      <c r="H175" s="355"/>
      <c r="N175" s="1645"/>
      <c r="O175" s="1645"/>
      <c r="P175" s="1645"/>
      <c r="Q175" s="1645"/>
      <c r="R175" s="1645"/>
      <c r="S175" s="1645"/>
      <c r="T175" s="1370"/>
      <c r="V175" s="1370"/>
      <c r="W175" s="1640"/>
      <c r="X175" s="1640"/>
      <c r="Y175" s="1370"/>
      <c r="Z175" s="1370"/>
      <c r="AA175" s="1370"/>
      <c r="AB175" s="1370"/>
      <c r="AC175" s="1640"/>
      <c r="AD175" s="1370"/>
      <c r="AE175" s="1370"/>
      <c r="AF175" s="548"/>
      <c r="AG175" s="1370"/>
      <c r="AH175" s="1370"/>
      <c r="AI175" s="1370"/>
      <c r="AJ175" s="1370"/>
      <c r="AK175" s="1370"/>
      <c r="AL175" s="1636"/>
      <c r="AM175" s="626"/>
      <c r="AN175" s="626"/>
      <c r="AO175" s="626"/>
      <c r="AP175" s="626"/>
      <c r="AQ175" s="1645">
        <v>11</v>
      </c>
    </row>
    <row s="1645" customFormat="1" customHeight="1" ht="11.549999999999999">
      <c r="A176" s="991"/>
      <c r="B176" s="991"/>
      <c r="C176" s="991"/>
      <c r="D176" s="991"/>
      <c r="E176" s="991"/>
      <c r="F176" s="1640"/>
      <c r="G176" s="1640"/>
      <c r="H176" s="355"/>
      <c r="N176" s="1645"/>
      <c r="O176" s="1645"/>
      <c r="P176" s="1645"/>
      <c r="Q176" s="1645"/>
      <c r="R176" s="1645"/>
      <c r="S176" s="1645"/>
      <c r="T176" s="1370"/>
      <c r="V176" s="1370"/>
      <c r="W176" s="1640"/>
      <c r="X176" s="1640"/>
      <c r="Y176" s="1370"/>
      <c r="Z176" s="1370"/>
      <c r="AA176" s="1370"/>
      <c r="AB176" s="1370"/>
      <c r="AC176" s="1640"/>
      <c r="AD176" s="1370"/>
      <c r="AE176" s="1370"/>
      <c r="AF176" s="548"/>
      <c r="AG176" s="1370"/>
      <c r="AH176" s="1370"/>
      <c r="AI176" s="1370"/>
      <c r="AJ176" s="1370"/>
      <c r="AK176" s="1370"/>
      <c r="AL176" s="1636"/>
      <c r="AM176" s="626"/>
      <c r="AN176" s="626"/>
      <c r="AO176" s="626"/>
      <c r="AP176" s="626"/>
      <c r="AQ176" s="1645">
        <v>11</v>
      </c>
    </row>
    <row s="1645" customFormat="1" customHeight="1" ht="11.549999999999999">
      <c r="A177" s="991"/>
      <c r="B177" s="991"/>
      <c r="C177" s="991"/>
      <c r="D177" s="991"/>
      <c r="E177" s="991"/>
      <c r="F177" s="1640"/>
      <c r="G177" s="1640"/>
      <c r="H177" s="355"/>
      <c r="N177" s="1645"/>
      <c r="O177" s="1645"/>
      <c r="P177" s="1645"/>
      <c r="Q177" s="1645"/>
      <c r="R177" s="1645"/>
      <c r="S177" s="1645"/>
      <c r="T177" s="1370"/>
      <c r="V177" s="1370"/>
      <c r="W177" s="1640"/>
      <c r="X177" s="1640"/>
      <c r="Y177" s="1370"/>
      <c r="Z177" s="1370"/>
      <c r="AA177" s="1370"/>
      <c r="AB177" s="1370"/>
      <c r="AC177" s="1640"/>
      <c r="AD177" s="1370"/>
      <c r="AE177" s="1370"/>
      <c r="AF177" s="548"/>
      <c r="AG177" s="1370"/>
      <c r="AH177" s="1370"/>
      <c r="AI177" s="1370"/>
      <c r="AJ177" s="1370"/>
      <c r="AK177" s="1370"/>
      <c r="AL177" s="1636"/>
      <c r="AM177" s="626"/>
      <c r="AN177" s="626"/>
      <c r="AO177" s="626"/>
      <c r="AP177" s="626"/>
      <c r="AQ177" s="1645">
        <v>11</v>
      </c>
    </row>
    <row s="1645" customFormat="1" customHeight="1" ht="11.549999999999999">
      <c r="A178" s="991"/>
      <c r="B178" s="991"/>
      <c r="C178" s="991"/>
      <c r="D178" s="991"/>
      <c r="E178" s="991"/>
      <c r="F178" s="1640"/>
      <c r="G178" s="1640"/>
      <c r="H178" s="355"/>
      <c r="N178" s="1645"/>
      <c r="O178" s="1645"/>
      <c r="P178" s="1645"/>
      <c r="Q178" s="1645"/>
      <c r="R178" s="1645"/>
      <c r="S178" s="1645"/>
      <c r="T178" s="1370"/>
      <c r="V178" s="1370"/>
      <c r="W178" s="1640"/>
      <c r="X178" s="1640"/>
      <c r="Y178" s="1370"/>
      <c r="Z178" s="1370"/>
      <c r="AA178" s="1370"/>
      <c r="AB178" s="1370"/>
      <c r="AC178" s="1640"/>
      <c r="AD178" s="1370"/>
      <c r="AE178" s="1370"/>
      <c r="AF178" s="548"/>
      <c r="AG178" s="1370"/>
      <c r="AH178" s="1370"/>
      <c r="AI178" s="1370"/>
      <c r="AJ178" s="1370"/>
      <c r="AK178" s="1370"/>
      <c r="AL178" s="1636"/>
      <c r="AM178" s="626"/>
      <c r="AN178" s="626"/>
      <c r="AO178" s="626"/>
      <c r="AP178" s="626"/>
      <c r="AQ178" s="1645">
        <v>11</v>
      </c>
    </row>
    <row s="1645" customFormat="1" customHeight="1" ht="11.549999999999999">
      <c r="A179" s="991"/>
      <c r="B179" s="991"/>
      <c r="C179" s="991"/>
      <c r="D179" s="991"/>
      <c r="E179" s="991"/>
      <c r="F179" s="1640"/>
      <c r="G179" s="1640"/>
      <c r="H179" s="355"/>
      <c r="N179" s="1645"/>
      <c r="O179" s="1645"/>
      <c r="P179" s="1645"/>
      <c r="Q179" s="1645"/>
      <c r="R179" s="1645"/>
      <c r="S179" s="1645"/>
      <c r="T179" s="1370"/>
      <c r="V179" s="1370"/>
      <c r="W179" s="1640"/>
      <c r="X179" s="1640"/>
      <c r="Y179" s="1370"/>
      <c r="Z179" s="1370"/>
      <c r="AA179" s="1370"/>
      <c r="AB179" s="1370"/>
      <c r="AC179" s="1640"/>
      <c r="AD179" s="1370"/>
      <c r="AE179" s="1370"/>
      <c r="AF179" s="548"/>
      <c r="AG179" s="1370"/>
      <c r="AH179" s="1370"/>
      <c r="AI179" s="1370"/>
      <c r="AJ179" s="1370"/>
      <c r="AK179" s="1370"/>
      <c r="AL179" s="1636"/>
      <c r="AM179" s="626"/>
      <c r="AN179" s="626"/>
      <c r="AO179" s="626"/>
      <c r="AP179" s="626"/>
      <c r="AQ179" s="1645">
        <v>11</v>
      </c>
    </row>
    <row s="1645" customFormat="1" customHeight="1" ht="11.549999999999999">
      <c r="A180" s="991"/>
      <c r="B180" s="991"/>
      <c r="C180" s="991"/>
      <c r="D180" s="991"/>
      <c r="E180" s="991"/>
      <c r="F180" s="1640"/>
      <c r="G180" s="1640"/>
      <c r="H180" s="355"/>
      <c r="N180" s="1645"/>
      <c r="O180" s="1645"/>
      <c r="P180" s="1645"/>
      <c r="Q180" s="1645"/>
      <c r="R180" s="1645"/>
      <c r="S180" s="1645"/>
      <c r="T180" s="1370"/>
      <c r="V180" s="1370"/>
      <c r="W180" s="1640"/>
      <c r="X180" s="1640"/>
      <c r="Y180" s="1370"/>
      <c r="Z180" s="1370"/>
      <c r="AA180" s="1370"/>
      <c r="AB180" s="1370"/>
      <c r="AC180" s="1640"/>
      <c r="AD180" s="1370"/>
      <c r="AE180" s="1370"/>
      <c r="AF180" s="548"/>
      <c r="AG180" s="1370"/>
      <c r="AH180" s="1370"/>
      <c r="AI180" s="1370"/>
      <c r="AJ180" s="1370"/>
      <c r="AK180" s="1370"/>
      <c r="AL180" s="1636"/>
      <c r="AM180" s="626"/>
      <c r="AN180" s="626"/>
      <c r="AO180" s="626"/>
      <c r="AP180" s="626"/>
      <c r="AQ180" s="1645">
        <v>11</v>
      </c>
    </row>
    <row s="1645" customFormat="1" customHeight="1" ht="11.549999999999999">
      <c r="A181" s="991"/>
      <c r="B181" s="991"/>
      <c r="C181" s="991"/>
      <c r="D181" s="991"/>
      <c r="E181" s="991"/>
      <c r="F181" s="1640"/>
      <c r="G181" s="1640"/>
      <c r="H181" s="355"/>
      <c r="N181" s="1645"/>
      <c r="O181" s="1645"/>
      <c r="P181" s="1645"/>
      <c r="Q181" s="1645"/>
      <c r="R181" s="1645"/>
      <c r="S181" s="1645"/>
      <c r="T181" s="1370"/>
      <c r="V181" s="1370"/>
      <c r="W181" s="1640"/>
      <c r="X181" s="1640"/>
      <c r="Y181" s="1370"/>
      <c r="Z181" s="1370"/>
      <c r="AA181" s="1370"/>
      <c r="AB181" s="1370"/>
      <c r="AC181" s="1640"/>
      <c r="AD181" s="1370"/>
      <c r="AE181" s="1370"/>
      <c r="AF181" s="548"/>
      <c r="AG181" s="1370"/>
      <c r="AH181" s="1370"/>
      <c r="AI181" s="1370"/>
      <c r="AJ181" s="1370"/>
      <c r="AK181" s="1370"/>
      <c r="AL181" s="1636"/>
      <c r="AM181" s="626"/>
      <c r="AN181" s="626"/>
      <c r="AO181" s="626"/>
      <c r="AP181" s="626"/>
      <c r="AQ181" s="1645">
        <v>11</v>
      </c>
    </row>
    <row s="1645" customFormat="1" customHeight="1" ht="11.549999999999999">
      <c r="A182" s="991"/>
      <c r="B182" s="991"/>
      <c r="C182" s="991"/>
      <c r="D182" s="991"/>
      <c r="E182" s="991"/>
      <c r="F182" s="1640"/>
      <c r="G182" s="1640"/>
      <c r="H182" s="355"/>
      <c r="N182" s="1645"/>
      <c r="O182" s="1645"/>
      <c r="P182" s="1645"/>
      <c r="Q182" s="1645"/>
      <c r="R182" s="1645"/>
      <c r="S182" s="1645"/>
      <c r="T182" s="1370"/>
      <c r="V182" s="1370"/>
      <c r="W182" s="1640"/>
      <c r="X182" s="1640"/>
      <c r="Y182" s="1370"/>
      <c r="Z182" s="1370"/>
      <c r="AA182" s="1370"/>
      <c r="AB182" s="1370"/>
      <c r="AC182" s="1640"/>
      <c r="AD182" s="1370"/>
      <c r="AE182" s="1370"/>
      <c r="AF182" s="548"/>
      <c r="AG182" s="1370"/>
      <c r="AH182" s="1370"/>
      <c r="AI182" s="1370"/>
      <c r="AJ182" s="1370"/>
      <c r="AK182" s="1370"/>
      <c r="AL182" s="1636"/>
      <c r="AM182" s="626"/>
      <c r="AN182" s="626"/>
      <c r="AO182" s="626"/>
      <c r="AP182" s="626"/>
      <c r="AQ182" s="1645">
        <v>11</v>
      </c>
    </row>
    <row s="1645" customFormat="1" customHeight="1" ht="11.549999999999999">
      <c r="A183" s="991"/>
      <c r="B183" s="991"/>
      <c r="C183" s="991"/>
      <c r="D183" s="991"/>
      <c r="E183" s="991"/>
      <c r="F183" s="1640"/>
      <c r="G183" s="1640"/>
      <c r="H183" s="355"/>
      <c r="N183" s="1645"/>
      <c r="O183" s="1645"/>
      <c r="P183" s="1645"/>
      <c r="Q183" s="1645"/>
      <c r="R183" s="1645"/>
      <c r="S183" s="1645"/>
      <c r="T183" s="1370"/>
      <c r="V183" s="1370"/>
      <c r="W183" s="1640"/>
      <c r="X183" s="1640"/>
      <c r="Y183" s="1370"/>
      <c r="Z183" s="1370"/>
      <c r="AA183" s="1370"/>
      <c r="AB183" s="1370"/>
      <c r="AC183" s="1640"/>
      <c r="AD183" s="1370"/>
      <c r="AE183" s="1370"/>
      <c r="AF183" s="548"/>
      <c r="AG183" s="1370"/>
      <c r="AH183" s="1370"/>
      <c r="AI183" s="1370"/>
      <c r="AJ183" s="1370"/>
      <c r="AK183" s="1370"/>
      <c r="AL183" s="1636"/>
      <c r="AM183" s="626"/>
      <c r="AN183" s="626"/>
      <c r="AO183" s="626"/>
      <c r="AP183" s="626"/>
      <c r="AQ183" s="1645">
        <v>11</v>
      </c>
    </row>
    <row s="1645" customFormat="1" customHeight="1" ht="11.549999999999999">
      <c r="A184" s="991"/>
      <c r="B184" s="991"/>
      <c r="C184" s="991"/>
      <c r="D184" s="991"/>
      <c r="E184" s="991"/>
      <c r="F184" s="1640"/>
      <c r="G184" s="1640"/>
      <c r="H184" s="355"/>
      <c r="N184" s="1645"/>
      <c r="O184" s="1645"/>
      <c r="P184" s="1645"/>
      <c r="Q184" s="1645"/>
      <c r="R184" s="1645"/>
      <c r="S184" s="1645"/>
      <c r="T184" s="1370"/>
      <c r="V184" s="1370"/>
      <c r="W184" s="1640"/>
      <c r="X184" s="1640"/>
      <c r="Y184" s="1370"/>
      <c r="Z184" s="1370"/>
      <c r="AA184" s="1370"/>
      <c r="AB184" s="1370"/>
      <c r="AC184" s="1640"/>
      <c r="AD184" s="1370"/>
      <c r="AE184" s="1370"/>
      <c r="AF184" s="548"/>
      <c r="AG184" s="1370"/>
      <c r="AH184" s="1370"/>
      <c r="AI184" s="1370"/>
      <c r="AJ184" s="1370"/>
      <c r="AK184" s="1370"/>
      <c r="AL184" s="1636"/>
      <c r="AM184" s="626"/>
      <c r="AN184" s="626"/>
      <c r="AO184" s="626"/>
      <c r="AP184" s="626"/>
      <c r="AQ184" s="1645">
        <v>11</v>
      </c>
    </row>
    <row s="1645" customFormat="1" customHeight="1" ht="11.549999999999999">
      <c r="A185" s="991"/>
      <c r="B185" s="991"/>
      <c r="C185" s="991"/>
      <c r="D185" s="991"/>
      <c r="E185" s="991"/>
      <c r="F185" s="1640"/>
      <c r="G185" s="1640"/>
      <c r="H185" s="355"/>
      <c r="N185" s="1645"/>
      <c r="O185" s="1645"/>
      <c r="P185" s="1645"/>
      <c r="Q185" s="1645"/>
      <c r="R185" s="1645"/>
      <c r="S185" s="1645"/>
      <c r="T185" s="1370"/>
      <c r="V185" s="1370"/>
      <c r="W185" s="1640"/>
      <c r="X185" s="1640"/>
      <c r="Y185" s="1370"/>
      <c r="Z185" s="1370"/>
      <c r="AA185" s="1370"/>
      <c r="AB185" s="1370"/>
      <c r="AC185" s="1640"/>
      <c r="AD185" s="1370"/>
      <c r="AE185" s="1370"/>
      <c r="AF185" s="548"/>
      <c r="AG185" s="1370"/>
      <c r="AH185" s="1370"/>
      <c r="AI185" s="1370"/>
      <c r="AJ185" s="1370"/>
      <c r="AK185" s="1370"/>
      <c r="AL185" s="1636"/>
      <c r="AM185" s="626"/>
      <c r="AN185" s="626"/>
      <c r="AO185" s="626"/>
      <c r="AP185" s="626"/>
      <c r="AQ185" s="1645">
        <v>11</v>
      </c>
    </row>
    <row s="1645" customFormat="1" customHeight="1" ht="11.549999999999999">
      <c r="A186" s="991"/>
      <c r="B186" s="991"/>
      <c r="C186" s="991"/>
      <c r="D186" s="991"/>
      <c r="E186" s="991"/>
      <c r="F186" s="1640"/>
      <c r="G186" s="1640"/>
      <c r="H186" s="355"/>
      <c r="N186" s="1645"/>
      <c r="O186" s="1645"/>
      <c r="P186" s="1645"/>
      <c r="Q186" s="1645"/>
      <c r="R186" s="1645"/>
      <c r="S186" s="1645"/>
      <c r="T186" s="1370"/>
      <c r="V186" s="1370"/>
      <c r="W186" s="1640"/>
      <c r="X186" s="1640"/>
      <c r="Y186" s="1370"/>
      <c r="Z186" s="1370"/>
      <c r="AA186" s="1370"/>
      <c r="AB186" s="1370"/>
      <c r="AC186" s="1640"/>
      <c r="AD186" s="1370"/>
      <c r="AE186" s="1370"/>
      <c r="AF186" s="548"/>
      <c r="AG186" s="1370"/>
      <c r="AH186" s="1370"/>
      <c r="AI186" s="1370"/>
      <c r="AJ186" s="1370"/>
      <c r="AK186" s="1370"/>
      <c r="AL186" s="1636"/>
      <c r="AM186" s="626"/>
      <c r="AN186" s="626"/>
      <c r="AO186" s="626"/>
      <c r="AP186" s="626"/>
      <c r="AQ186" s="1645">
        <v>11</v>
      </c>
    </row>
    <row s="1645" customFormat="1" customHeight="1" ht="11.549999999999999">
      <c r="A187" s="991"/>
      <c r="B187" s="991"/>
      <c r="C187" s="991"/>
      <c r="D187" s="991"/>
      <c r="E187" s="991"/>
      <c r="F187" s="1640"/>
      <c r="G187" s="1640"/>
      <c r="H187" s="355"/>
      <c r="N187" s="1645"/>
      <c r="O187" s="1645"/>
      <c r="P187" s="1645"/>
      <c r="Q187" s="1645"/>
      <c r="R187" s="1645"/>
      <c r="S187" s="1645"/>
      <c r="T187" s="1370"/>
      <c r="V187" s="1370"/>
      <c r="W187" s="1640"/>
      <c r="X187" s="1640"/>
      <c r="Y187" s="1370"/>
      <c r="Z187" s="1370"/>
      <c r="AA187" s="1370"/>
      <c r="AB187" s="1370"/>
      <c r="AC187" s="1640"/>
      <c r="AD187" s="1370"/>
      <c r="AE187" s="1370"/>
      <c r="AF187" s="548"/>
      <c r="AG187" s="1370"/>
      <c r="AH187" s="1370"/>
      <c r="AI187" s="1370"/>
      <c r="AJ187" s="1370"/>
      <c r="AK187" s="1370"/>
      <c r="AL187" s="1636"/>
      <c r="AM187" s="626"/>
      <c r="AN187" s="626"/>
      <c r="AO187" s="626"/>
      <c r="AP187" s="626"/>
      <c r="AQ187" s="1645">
        <v>11</v>
      </c>
    </row>
    <row s="1645" customFormat="1" customHeight="1" ht="11.549999999999999">
      <c r="A188" s="991"/>
      <c r="B188" s="991"/>
      <c r="C188" s="991"/>
      <c r="D188" s="991"/>
      <c r="E188" s="991"/>
      <c r="F188" s="1640"/>
      <c r="G188" s="1640"/>
      <c r="H188" s="355"/>
      <c r="N188" s="1645"/>
      <c r="O188" s="1645"/>
      <c r="P188" s="1645"/>
      <c r="Q188" s="1645"/>
      <c r="R188" s="1645"/>
      <c r="S188" s="1645"/>
      <c r="T188" s="1370"/>
      <c r="V188" s="1370"/>
      <c r="W188" s="1640"/>
      <c r="X188" s="1640"/>
      <c r="Y188" s="1370"/>
      <c r="Z188" s="1370"/>
      <c r="AA188" s="1370"/>
      <c r="AB188" s="1370"/>
      <c r="AC188" s="1640"/>
      <c r="AD188" s="1370"/>
      <c r="AE188" s="1370"/>
      <c r="AF188" s="548"/>
      <c r="AG188" s="1370"/>
      <c r="AH188" s="1370"/>
      <c r="AI188" s="1370"/>
      <c r="AJ188" s="1370"/>
      <c r="AK188" s="1370"/>
      <c r="AL188" s="1636"/>
      <c r="AM188" s="626"/>
      <c r="AN188" s="626"/>
      <c r="AO188" s="626"/>
      <c r="AP188" s="626"/>
      <c r="AQ188" s="1645">
        <v>11</v>
      </c>
    </row>
    <row s="1645" customFormat="1" customHeight="1" ht="11.549999999999999">
      <c r="A189" s="991"/>
      <c r="B189" s="991"/>
      <c r="C189" s="991"/>
      <c r="D189" s="991"/>
      <c r="E189" s="991"/>
      <c r="F189" s="1640"/>
      <c r="G189" s="1640"/>
      <c r="H189" s="355"/>
      <c r="N189" s="1645"/>
      <c r="O189" s="1645"/>
      <c r="P189" s="1645"/>
      <c r="Q189" s="1645"/>
      <c r="R189" s="1645"/>
      <c r="S189" s="1645"/>
      <c r="T189" s="1370"/>
      <c r="V189" s="1370"/>
      <c r="W189" s="1640"/>
      <c r="X189" s="1640"/>
      <c r="Y189" s="1370"/>
      <c r="Z189" s="1370"/>
      <c r="AA189" s="1370"/>
      <c r="AB189" s="1370"/>
      <c r="AC189" s="1640"/>
      <c r="AD189" s="1370"/>
      <c r="AE189" s="1370"/>
      <c r="AF189" s="548"/>
      <c r="AG189" s="1370"/>
      <c r="AH189" s="1370"/>
      <c r="AI189" s="1370"/>
      <c r="AJ189" s="1370"/>
      <c r="AK189" s="1370"/>
      <c r="AL189" s="1636"/>
      <c r="AM189" s="626"/>
      <c r="AN189" s="626"/>
      <c r="AO189" s="626"/>
      <c r="AP189" s="626"/>
      <c r="AQ189" s="1645">
        <v>11</v>
      </c>
    </row>
    <row customHeight="1" ht="11.549999999999999">
      <c r="N190" s="1639"/>
      <c r="O190" s="1639"/>
      <c r="P190" s="1639"/>
      <c r="Q190" s="1639"/>
      <c r="R190" s="1639"/>
      <c r="S190" s="1639"/>
      <c r="AQ190" s="1635">
        <v>11</v>
      </c>
    </row>
    <row customHeight="1" ht="11.549999999999999">
      <c r="N191" s="1639"/>
      <c r="O191" s="1639"/>
      <c r="P191" s="1639"/>
      <c r="Q191" s="1639"/>
      <c r="R191" s="1639"/>
      <c r="S191" s="1639"/>
      <c r="AQ191" s="1635">
        <v>11</v>
      </c>
    </row>
    <row customHeight="1" ht="11.549999999999999">
      <c r="N192" s="1639"/>
      <c r="O192" s="1639"/>
      <c r="P192" s="1639"/>
      <c r="Q192" s="1639"/>
      <c r="R192" s="1639"/>
      <c r="S192" s="1639"/>
      <c r="AQ192" s="1635">
        <v>11</v>
      </c>
    </row>
    <row customHeight="1" ht="11.549999999999999">
      <c r="A193" s="994"/>
      <c r="B193" s="994"/>
      <c r="C193" s="994"/>
      <c r="D193" s="994"/>
      <c r="E193" s="994"/>
      <c r="F193" s="1635"/>
      <c r="H193" s="1635"/>
      <c r="N193" s="1639"/>
      <c r="O193" s="1639"/>
      <c r="P193" s="1639"/>
      <c r="Q193" s="1639"/>
      <c r="R193" s="1639"/>
      <c r="S193" s="1639"/>
      <c r="T193" s="1635"/>
      <c r="V193" s="1635"/>
      <c r="Y193" s="1635"/>
      <c r="Z193" s="1635"/>
      <c r="AA193" s="1635"/>
      <c r="AB193" s="1635"/>
      <c r="AD193" s="1635"/>
      <c r="AE193" s="1635"/>
      <c r="AF193" s="1635"/>
      <c r="AG193" s="1635"/>
      <c r="AH193" s="1635"/>
      <c r="AI193" s="1635"/>
      <c r="AJ193" s="1635"/>
      <c r="AK193" s="1635"/>
      <c r="AL193" s="1635"/>
      <c r="AM193" s="1635"/>
      <c r="AN193" s="1635"/>
      <c r="AO193" s="1635"/>
      <c r="AP193" s="1635"/>
      <c r="AQ193" s="1635">
        <v>11</v>
      </c>
    </row>
    <row customHeight="1" ht="11.549999999999999">
      <c r="A194" s="994"/>
      <c r="B194" s="994"/>
      <c r="C194" s="994"/>
      <c r="D194" s="994"/>
      <c r="E194" s="994"/>
      <c r="F194" s="1635"/>
      <c r="H194" s="1635"/>
      <c r="N194" s="1639"/>
      <c r="O194" s="1639"/>
      <c r="P194" s="1639"/>
      <c r="Q194" s="1639"/>
      <c r="R194" s="1639"/>
      <c r="S194" s="1639"/>
      <c r="T194" s="1635"/>
      <c r="V194" s="1635"/>
      <c r="Y194" s="1635"/>
      <c r="Z194" s="1635"/>
      <c r="AA194" s="1635"/>
      <c r="AB194" s="1635"/>
      <c r="AD194" s="1635"/>
      <c r="AE194" s="1635"/>
      <c r="AF194" s="1635"/>
      <c r="AG194" s="1635"/>
      <c r="AH194" s="1635"/>
      <c r="AI194" s="1635"/>
      <c r="AJ194" s="1635"/>
      <c r="AK194" s="1635"/>
      <c r="AL194" s="1635"/>
      <c r="AM194" s="1635"/>
      <c r="AN194" s="1635"/>
      <c r="AO194" s="1635"/>
      <c r="AP194" s="1635"/>
      <c r="AQ194" s="1635">
        <v>11</v>
      </c>
    </row>
    <row customHeight="1" ht="11.549999999999999">
      <c r="A195" s="994"/>
      <c r="B195" s="994"/>
      <c r="C195" s="994"/>
      <c r="D195" s="994"/>
      <c r="E195" s="994"/>
      <c r="F195" s="1635"/>
      <c r="H195" s="1635"/>
      <c r="N195" s="1639"/>
      <c r="O195" s="1639"/>
      <c r="P195" s="1639"/>
      <c r="Q195" s="1639"/>
      <c r="R195" s="1639"/>
      <c r="S195" s="1639"/>
      <c r="T195" s="1635"/>
      <c r="V195" s="1635"/>
      <c r="Y195" s="1635"/>
      <c r="Z195" s="1635"/>
      <c r="AA195" s="1635"/>
      <c r="AB195" s="1635"/>
      <c r="AD195" s="1635"/>
      <c r="AE195" s="1635"/>
      <c r="AF195" s="1635"/>
      <c r="AG195" s="1635"/>
      <c r="AH195" s="1635"/>
      <c r="AI195" s="1635"/>
      <c r="AJ195" s="1635"/>
      <c r="AK195" s="1635"/>
      <c r="AL195" s="1635"/>
      <c r="AM195" s="1635"/>
      <c r="AN195" s="1635"/>
      <c r="AO195" s="1635"/>
      <c r="AP195" s="1635"/>
      <c r="AQ195" s="1635">
        <v>11</v>
      </c>
    </row>
    <row customHeight="1" ht="11.549999999999999">
      <c r="A196" s="994"/>
      <c r="B196" s="994"/>
      <c r="C196" s="994"/>
      <c r="D196" s="994"/>
      <c r="E196" s="994"/>
      <c r="F196" s="1635"/>
      <c r="H196" s="1635"/>
      <c r="N196" s="1639"/>
      <c r="O196" s="1639"/>
      <c r="P196" s="1639"/>
      <c r="Q196" s="1639"/>
      <c r="R196" s="1639"/>
      <c r="S196" s="1639"/>
      <c r="T196" s="1635"/>
      <c r="V196" s="1635"/>
      <c r="Y196" s="1635"/>
      <c r="Z196" s="1635"/>
      <c r="AA196" s="1635"/>
      <c r="AB196" s="1635"/>
      <c r="AD196" s="1635"/>
      <c r="AE196" s="1635"/>
      <c r="AF196" s="1635"/>
      <c r="AG196" s="1635"/>
      <c r="AH196" s="1635"/>
      <c r="AI196" s="1635"/>
      <c r="AJ196" s="1635"/>
      <c r="AK196" s="1635"/>
      <c r="AL196" s="1635"/>
      <c r="AM196" s="1635"/>
      <c r="AN196" s="1635"/>
      <c r="AO196" s="1635"/>
      <c r="AP196" s="1635"/>
      <c r="AQ196" s="1635">
        <v>11</v>
      </c>
    </row>
    <row customHeight="1" ht="11.549999999999999">
      <c r="A197" s="994"/>
      <c r="B197" s="994"/>
      <c r="C197" s="994"/>
      <c r="D197" s="994"/>
      <c r="E197" s="994"/>
      <c r="F197" s="1635"/>
      <c r="H197" s="1635"/>
      <c r="N197" s="1639"/>
      <c r="O197" s="1639"/>
      <c r="P197" s="1639"/>
      <c r="Q197" s="1639"/>
      <c r="R197" s="1639"/>
      <c r="S197" s="1639"/>
      <c r="T197" s="1635"/>
      <c r="V197" s="1635"/>
      <c r="Y197" s="1635"/>
      <c r="Z197" s="1635"/>
      <c r="AA197" s="1635"/>
      <c r="AB197" s="1635"/>
      <c r="AD197" s="1635"/>
      <c r="AE197" s="1635"/>
      <c r="AF197" s="1635"/>
      <c r="AG197" s="1635"/>
      <c r="AH197" s="1635"/>
      <c r="AI197" s="1635"/>
      <c r="AJ197" s="1635"/>
      <c r="AK197" s="1635"/>
      <c r="AL197" s="1635"/>
      <c r="AM197" s="1635"/>
      <c r="AN197" s="1635"/>
      <c r="AO197" s="1635"/>
      <c r="AP197" s="1635"/>
      <c r="AQ197" s="1635">
        <v>11</v>
      </c>
    </row>
    <row customHeight="1" ht="11.549999999999999">
      <c r="A198" s="994"/>
      <c r="B198" s="994"/>
      <c r="C198" s="994"/>
      <c r="D198" s="994"/>
      <c r="E198" s="994"/>
      <c r="F198" s="1635"/>
      <c r="H198" s="1635"/>
      <c r="N198" s="1639"/>
      <c r="O198" s="1639"/>
      <c r="P198" s="1639"/>
      <c r="Q198" s="1639"/>
      <c r="R198" s="1639"/>
      <c r="S198" s="1639"/>
      <c r="T198" s="1635"/>
      <c r="V198" s="1635"/>
      <c r="Y198" s="1635"/>
      <c r="Z198" s="1635"/>
      <c r="AA198" s="1635"/>
      <c r="AB198" s="1635"/>
      <c r="AD198" s="1635"/>
      <c r="AE198" s="1635"/>
      <c r="AF198" s="1635"/>
      <c r="AG198" s="1635"/>
      <c r="AH198" s="1635"/>
      <c r="AI198" s="1635"/>
      <c r="AJ198" s="1635"/>
      <c r="AK198" s="1635"/>
      <c r="AL198" s="1635"/>
      <c r="AM198" s="1635"/>
      <c r="AN198" s="1635"/>
      <c r="AO198" s="1635"/>
      <c r="AP198" s="1635"/>
      <c r="AQ198" s="1635">
        <v>11</v>
      </c>
    </row>
    <row customHeight="1" ht="11.549999999999999">
      <c r="A199" s="994"/>
      <c r="B199" s="994"/>
      <c r="C199" s="994"/>
      <c r="D199" s="994"/>
      <c r="E199" s="994"/>
      <c r="F199" s="1635"/>
      <c r="H199" s="1635"/>
      <c r="N199" s="1639"/>
      <c r="O199" s="1639"/>
      <c r="P199" s="1639"/>
      <c r="Q199" s="1639"/>
      <c r="R199" s="1639"/>
      <c r="S199" s="1639"/>
      <c r="T199" s="1635"/>
      <c r="V199" s="1635"/>
      <c r="Y199" s="1635"/>
      <c r="Z199" s="1635"/>
      <c r="AA199" s="1635"/>
      <c r="AB199" s="1635"/>
      <c r="AD199" s="1635"/>
      <c r="AE199" s="1635"/>
      <c r="AF199" s="1635"/>
      <c r="AG199" s="1635"/>
      <c r="AH199" s="1635"/>
      <c r="AI199" s="1635"/>
      <c r="AJ199" s="1635"/>
      <c r="AK199" s="1635"/>
      <c r="AL199" s="1635"/>
      <c r="AM199" s="1635"/>
      <c r="AN199" s="1635"/>
      <c r="AO199" s="1635"/>
      <c r="AP199" s="1635"/>
      <c r="AQ199" s="1635">
        <v>11</v>
      </c>
    </row>
    <row customHeight="1" ht="11.549999999999999">
      <c r="A200" s="994"/>
      <c r="B200" s="994"/>
      <c r="C200" s="994"/>
      <c r="D200" s="994"/>
      <c r="E200" s="994"/>
      <c r="F200" s="1635"/>
      <c r="H200" s="1635"/>
      <c r="N200" s="1639"/>
      <c r="O200" s="1639"/>
      <c r="P200" s="1639"/>
      <c r="Q200" s="1639"/>
      <c r="R200" s="1639"/>
      <c r="S200" s="1639"/>
      <c r="T200" s="1635"/>
      <c r="V200" s="1635"/>
      <c r="Y200" s="1635"/>
      <c r="Z200" s="1635"/>
      <c r="AA200" s="1635"/>
      <c r="AB200" s="1635"/>
      <c r="AD200" s="1635"/>
      <c r="AE200" s="1635"/>
      <c r="AF200" s="1635"/>
      <c r="AG200" s="1635"/>
      <c r="AH200" s="1635"/>
      <c r="AI200" s="1635"/>
      <c r="AJ200" s="1635"/>
      <c r="AK200" s="1635"/>
      <c r="AL200" s="1635"/>
      <c r="AM200" s="1635"/>
      <c r="AN200" s="1635"/>
      <c r="AO200" s="1635"/>
      <c r="AP200" s="1635"/>
      <c r="AQ200" s="1635">
        <v>11</v>
      </c>
    </row>
    <row customHeight="1" ht="11.549999999999999">
      <c r="A201" s="994"/>
      <c r="B201" s="994"/>
      <c r="C201" s="994"/>
      <c r="D201" s="994"/>
      <c r="E201" s="994"/>
      <c r="F201" s="1635"/>
      <c r="H201" s="1635"/>
      <c r="N201" s="1639"/>
      <c r="O201" s="1639"/>
      <c r="P201" s="1639"/>
      <c r="Q201" s="1639"/>
      <c r="R201" s="1639"/>
      <c r="S201" s="1639"/>
      <c r="T201" s="1635"/>
      <c r="V201" s="1635"/>
      <c r="Y201" s="1635"/>
      <c r="Z201" s="1635"/>
      <c r="AA201" s="1635"/>
      <c r="AB201" s="1635"/>
      <c r="AD201" s="1635"/>
      <c r="AE201" s="1635"/>
      <c r="AF201" s="1635"/>
      <c r="AG201" s="1635"/>
      <c r="AH201" s="1635"/>
      <c r="AI201" s="1635"/>
      <c r="AJ201" s="1635"/>
      <c r="AK201" s="1635"/>
      <c r="AL201" s="1635"/>
      <c r="AM201" s="1635"/>
      <c r="AN201" s="1635"/>
      <c r="AO201" s="1635"/>
      <c r="AP201" s="1635"/>
      <c r="AQ201" s="1635">
        <v>11</v>
      </c>
    </row>
    <row customHeight="1" ht="11.549999999999999">
      <c r="A202" s="994"/>
      <c r="B202" s="994"/>
      <c r="C202" s="994"/>
      <c r="D202" s="994"/>
      <c r="E202" s="994"/>
      <c r="F202" s="1635"/>
      <c r="H202" s="1635"/>
      <c r="N202" s="1639"/>
      <c r="O202" s="1639"/>
      <c r="P202" s="1639"/>
      <c r="Q202" s="1639"/>
      <c r="R202" s="1639"/>
      <c r="S202" s="1639"/>
      <c r="T202" s="1635"/>
      <c r="V202" s="1635"/>
      <c r="Y202" s="1635"/>
      <c r="Z202" s="1635"/>
      <c r="AA202" s="1635"/>
      <c r="AB202" s="1635"/>
      <c r="AD202" s="1635"/>
      <c r="AE202" s="1635"/>
      <c r="AF202" s="1635"/>
      <c r="AG202" s="1635"/>
      <c r="AH202" s="1635"/>
      <c r="AI202" s="1635"/>
      <c r="AJ202" s="1635"/>
      <c r="AK202" s="1635"/>
      <c r="AL202" s="1635"/>
      <c r="AM202" s="1635"/>
      <c r="AN202" s="1635"/>
      <c r="AO202" s="1635"/>
      <c r="AP202" s="1635"/>
      <c r="AQ202" s="1635">
        <v>11</v>
      </c>
    </row>
    <row customHeight="1" ht="11.549999999999999">
      <c r="A203" s="994"/>
      <c r="B203" s="994"/>
      <c r="C203" s="994"/>
      <c r="D203" s="994"/>
      <c r="E203" s="994"/>
      <c r="F203" s="1635"/>
      <c r="H203" s="1635"/>
      <c r="N203" s="1639"/>
      <c r="O203" s="1639"/>
      <c r="P203" s="1639"/>
      <c r="Q203" s="1639"/>
      <c r="R203" s="1639"/>
      <c r="S203" s="1639"/>
      <c r="T203" s="1635"/>
      <c r="V203" s="1635"/>
      <c r="Y203" s="1635"/>
      <c r="Z203" s="1635"/>
      <c r="AA203" s="1635"/>
      <c r="AB203" s="1635"/>
      <c r="AD203" s="1635"/>
      <c r="AE203" s="1635"/>
      <c r="AF203" s="1635"/>
      <c r="AG203" s="1635"/>
      <c r="AH203" s="1635"/>
      <c r="AI203" s="1635"/>
      <c r="AJ203" s="1635"/>
      <c r="AK203" s="1635"/>
      <c r="AL203" s="1635"/>
      <c r="AM203" s="1635"/>
      <c r="AN203" s="1635"/>
      <c r="AO203" s="1635"/>
      <c r="AP203" s="1635"/>
      <c r="AQ203" s="1635">
        <v>11</v>
      </c>
    </row>
    <row customHeight="1" ht="12.75" hidden="1">
      <c r="A204" s="991" t="s">
        <v>82</v>
      </c>
      <c r="B204" s="991" t="s">
        <v>169</v>
      </c>
      <c r="C204" s="991" t="s">
        <v>169</v>
      </c>
      <c r="D204" s="991" t="s">
        <v>169</v>
      </c>
      <c r="E204" s="991" t="s">
        <v>169</v>
      </c>
      <c r="F204" s="1639">
        <v>16</v>
      </c>
      <c r="G204" s="1640">
        <v>0</v>
      </c>
      <c r="H204" s="1639">
        <v>3</v>
      </c>
      <c r="I204" s="1635">
        <v>7</v>
      </c>
      <c r="J204" s="1635">
        <v>56</v>
      </c>
      <c r="K204" s="1635">
        <v>10</v>
      </c>
      <c r="L204" s="1635">
        <v>40</v>
      </c>
      <c r="M204" s="1635">
        <v>40</v>
      </c>
      <c r="N204" s="1639">
        <v>40</v>
      </c>
      <c r="O204" s="1639">
        <v>40</v>
      </c>
      <c r="P204" s="1639">
        <v>40</v>
      </c>
      <c r="Q204" s="1639">
        <v>40</v>
      </c>
      <c r="R204" s="1639">
        <v>40</v>
      </c>
      <c r="S204" s="1639">
        <v>40</v>
      </c>
      <c r="T204" s="1370">
        <v>9</v>
      </c>
      <c r="U204" s="1635">
        <v>102</v>
      </c>
      <c r="V204" s="1370">
        <v>9</v>
      </c>
      <c r="W204" s="1640">
        <v>5</v>
      </c>
      <c r="X204" s="1640">
        <v>3</v>
      </c>
      <c r="Y204" s="1370">
        <v>3</v>
      </c>
      <c r="Z204" s="1370">
        <v>3</v>
      </c>
      <c r="AA204" s="1370">
        <v>3</v>
      </c>
      <c r="AB204" s="1370">
        <v>3</v>
      </c>
      <c r="AC204" s="1640">
        <v>10</v>
      </c>
      <c r="AD204" s="1370">
        <v>34</v>
      </c>
      <c r="AE204" s="1370">
        <v>9</v>
      </c>
      <c r="AF204" s="548">
        <v>8</v>
      </c>
      <c r="AG204" s="1370">
        <v>8</v>
      </c>
      <c r="AH204" s="1370">
        <v>8</v>
      </c>
      <c r="AI204" s="1370">
        <v>8</v>
      </c>
      <c r="AJ204" s="1370">
        <v>8</v>
      </c>
      <c r="AK204" s="1370">
        <v>8</v>
      </c>
      <c r="AL204" s="1636">
        <v>8</v>
      </c>
      <c r="AM204" s="1636">
        <v>8</v>
      </c>
      <c r="AN204" s="1636">
        <v>8</v>
      </c>
      <c r="AO204" s="1636">
        <v>8</v>
      </c>
      <c r="AP204" s="1636">
        <v>8</v>
      </c>
      <c r="AQ204" s="1635">
        <v>11</v>
      </c>
    </row>
  </sheetData>
  <sheetProtection sort="0" autoFilter="0" insertRows="0" insertColumns="1" deleteRows="0" deleteColumns="0"/>
  <mergeCells count="7">
    <mergeCell ref="I6:M6"/>
    <mergeCell ref="I7:M7"/>
    <mergeCell ref="J10:K10"/>
    <mergeCell ref="U10:U14"/>
    <mergeCell ref="J11:K11"/>
    <mergeCell ref="J12:K12"/>
    <mergeCell ref="I13:K13"/>
  </mergeCells>
  <dataValidations count="4">
    <dataValidation type="decimal" allowBlank="1" showErrorMessage="1" errorTitle="Ошибка" error="Допускается ввод только неотрицательных чисел!" sqref="L32:S33 L19:S29 L16:S16 L2:S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S17">
      <formula1>900</formula1>
    </dataValidation>
    <dataValidation type="whole" allowBlank="1" showErrorMessage="1" errorTitle="Ошибка" error="Допускается ввод только неотрицательных целых чисел!" sqref="L30:S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S15 L34:S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0EC875-E982-55EB-FD7C-2018CAFC306E}"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9" width="10.57421875" hidden="1"/>
    <col min="5" max="5" style="2401" width="9.140625" hidden="1" customWidth="1"/>
    <col min="6" max="7" style="1370" width="9.140625" hidden="1" customWidth="1"/>
    <col min="8" max="8" style="348" width="3.00390625" customWidth="1"/>
    <col min="9" max="9" style="1639" width="6.00390625" customWidth="1"/>
    <col min="10" max="10" style="1639" width="63.00390625" customWidth="1"/>
    <col min="11" max="11" style="1639" width="9.00390625" customWidth="1"/>
    <col min="12" max="12" style="1639" width="39.00390625" customWidth="1"/>
    <col min="13" max="13" style="1639" width="89.00390625" customWidth="1"/>
    <col min="14" max="14" style="1639" width="10.00390625" customWidth="1"/>
    <col min="15" max="16" style="1628" width="10.00390625" customWidth="1"/>
    <col min="17" max="22" style="1639" width="10.00390625" customWidth="1"/>
    <col min="23" max="23" style="1639" width="10.57421875" hidden="1"/>
  </cols>
  <sheetData>
    <row customHeight="1" ht="22.5" hidden="1">
      <c r="S1" s="259"/>
      <c r="T1" s="259"/>
      <c r="V1" s="259"/>
      <c r="W1" s="1635" t="s">
        <v>14</v>
      </c>
    </row>
    <row customHeight="1" ht="22.5" hidden="1">
      <c r="B2" s="2057" t="s">
        <v>948</v>
      </c>
      <c r="C2" s="2057" t="s">
        <v>949</v>
      </c>
      <c r="D2" s="2056" t="s">
        <v>888</v>
      </c>
      <c r="E2" s="2062">
        <f>I2-3</f>
        <v>-3</v>
      </c>
      <c r="F2" s="2062">
        <f>J2</f>
        <v>0</v>
      </c>
      <c r="H2" s="1734" t="s">
        <v>104</v>
      </c>
      <c r="I2" s="2028"/>
      <c r="J2" s="1686"/>
      <c r="K2" s="2022" t="s">
        <v>324</v>
      </c>
      <c r="L2" s="1168"/>
      <c r="M2" s="301"/>
      <c r="N2" s="1628"/>
      <c r="P2" s="1635"/>
      <c r="W2" s="1635">
        <v>0</v>
      </c>
    </row>
    <row customHeight="1" ht="14.25" hidden="1">
      <c r="W3" s="1635">
        <v>0</v>
      </c>
    </row>
    <row customHeight="1" ht="6.3">
      <c r="H4" s="380"/>
      <c r="I4" s="461"/>
      <c r="J4" s="461"/>
      <c r="K4" s="461"/>
      <c r="L4" s="89"/>
      <c r="M4" s="89"/>
      <c r="W4" s="1635">
        <v>6</v>
      </c>
    </row>
    <row customHeight="1" ht="50.25">
      <c r="H5" s="380"/>
      <c r="I5" s="2252" t="s">
        <v>950</v>
      </c>
      <c r="J5" s="2252"/>
      <c r="K5" s="2252"/>
      <c r="L5" s="2252"/>
      <c r="M5" s="270"/>
      <c r="W5" s="1635">
        <v>48</v>
      </c>
    </row>
    <row customHeight="1" ht="18">
      <c r="H6" s="380"/>
      <c r="I6" s="2253" t="str">
        <f>IF(org=0,"Не определено",org)</f>
        <v>АО "Теплоэнерго"</v>
      </c>
      <c r="J6" s="2253"/>
      <c r="K6" s="2253"/>
      <c r="L6" s="2253"/>
      <c r="M6" s="270"/>
      <c r="W6" s="1635">
        <v>17</v>
      </c>
    </row>
    <row customHeight="1" ht="14.699999999999998">
      <c r="H7" s="380"/>
      <c r="I7" s="461"/>
      <c r="J7" s="467"/>
      <c r="K7" s="467"/>
      <c r="L7" s="756"/>
      <c r="M7" s="197"/>
      <c r="W7" s="1635">
        <v>14</v>
      </c>
    </row>
    <row customHeight="1" ht="14.699999999999998">
      <c r="H8" s="380"/>
      <c r="I8" s="2390" t="s">
        <v>318</v>
      </c>
      <c r="J8" s="2391"/>
      <c r="K8" s="2391"/>
      <c r="L8" s="2392"/>
      <c r="M8" s="2393" t="s">
        <v>319</v>
      </c>
      <c r="W8" s="1635">
        <v>14</v>
      </c>
    </row>
    <row customHeight="1" ht="35.699999999999996">
      <c r="E9" s="2055" t="s">
        <v>879</v>
      </c>
      <c r="F9" s="2055" t="s">
        <v>885</v>
      </c>
      <c r="H9" s="380"/>
      <c r="I9" s="2029" t="s">
        <v>88</v>
      </c>
      <c r="J9" s="2030" t="s">
        <v>320</v>
      </c>
      <c r="K9" s="2068" t="s">
        <v>584</v>
      </c>
      <c r="L9" s="2069" t="s">
        <v>321</v>
      </c>
      <c r="M9" s="2393"/>
      <c r="W9" s="1635">
        <v>34</v>
      </c>
    </row>
    <row customHeight="1" ht="35.699999999999996">
      <c r="B10" s="2057" t="s">
        <v>951</v>
      </c>
      <c r="C10" s="2057" t="s">
        <v>952</v>
      </c>
      <c r="D10" s="2056" t="s">
        <v>888</v>
      </c>
      <c r="E10" s="2060" t="s">
        <v>889</v>
      </c>
      <c r="F10" s="2060" t="s">
        <v>889</v>
      </c>
      <c r="H10" s="380"/>
      <c r="I10" s="2028" t="s">
        <v>119</v>
      </c>
      <c r="J10" s="1890" t="s">
        <v>953</v>
      </c>
      <c r="K10" s="2022" t="s">
        <v>324</v>
      </c>
      <c r="L10" s="822"/>
      <c r="M10" s="301" t="s">
        <v>954</v>
      </c>
      <c r="W10" s="1635">
        <v>34</v>
      </c>
    </row>
    <row customHeight="1" ht="50.25">
      <c r="B11" s="2057" t="s">
        <v>955</v>
      </c>
      <c r="C11" s="2057" t="s">
        <v>956</v>
      </c>
      <c r="D11" s="2056" t="s">
        <v>888</v>
      </c>
      <c r="E11" s="2060" t="s">
        <v>889</v>
      </c>
      <c r="F11" s="2060" t="s">
        <v>889</v>
      </c>
      <c r="H11" s="380"/>
      <c r="I11" s="2028" t="s">
        <v>103</v>
      </c>
      <c r="J11" s="1890" t="s">
        <v>957</v>
      </c>
      <c r="K11" s="2022" t="s">
        <v>324</v>
      </c>
      <c r="L11" s="822"/>
      <c r="M11" s="301" t="s">
        <v>954</v>
      </c>
      <c r="W11" s="1635">
        <v>48</v>
      </c>
    </row>
    <row customHeight="1" ht="48.29999999999999">
      <c r="B12" s="2057" t="s">
        <v>958</v>
      </c>
      <c r="C12" s="2057" t="s">
        <v>959</v>
      </c>
      <c r="D12" s="2056" t="s">
        <v>888</v>
      </c>
      <c r="E12" s="2060" t="s">
        <v>889</v>
      </c>
      <c r="F12" s="2060" t="s">
        <v>889</v>
      </c>
      <c r="H12" s="1692"/>
      <c r="I12" s="2028" t="s">
        <v>90</v>
      </c>
      <c r="J12" s="2035" t="s">
        <v>960</v>
      </c>
      <c r="K12" s="2022" t="s">
        <v>324</v>
      </c>
      <c r="L12" s="822"/>
      <c r="M12" s="301" t="s">
        <v>961</v>
      </c>
      <c r="N12" s="1628"/>
      <c r="P12" s="1635"/>
      <c r="W12" s="1635">
        <v>46</v>
      </c>
    </row>
    <row customHeight="1" ht="14.699999999999998">
      <c r="E13" s="347"/>
      <c r="H13" s="380"/>
      <c r="I13" s="351"/>
      <c r="J13" s="655" t="s">
        <v>962</v>
      </c>
      <c r="K13" s="575"/>
      <c r="L13" s="218"/>
      <c r="M13" s="301"/>
      <c r="W13" s="1635">
        <v>14</v>
      </c>
    </row>
    <row customHeight="1" ht="14.699999999999998">
      <c r="E14" s="347"/>
      <c r="H14" s="380"/>
      <c r="I14" s="1061"/>
      <c r="J14" s="1681"/>
      <c r="K14" s="1682"/>
      <c r="L14" s="1683"/>
      <c r="M14" s="2032"/>
      <c r="W14" s="1635">
        <v>14</v>
      </c>
    </row>
    <row customHeight="1" ht="14.699999999999998">
      <c r="I15" s="1685"/>
      <c r="J15" s="2389"/>
      <c r="K15" s="2389"/>
      <c r="L15" s="2389"/>
      <c r="M15" s="2389"/>
      <c r="W15" s="1635">
        <v>14</v>
      </c>
    </row>
    <row customHeight="1" ht="21" hidden="1">
      <c r="A16" s="2034" t="s">
        <v>82</v>
      </c>
      <c r="B16" s="1635">
        <v>9</v>
      </c>
      <c r="C16" s="1635">
        <v>9</v>
      </c>
      <c r="D16" s="1635">
        <v>9</v>
      </c>
      <c r="E16" s="2034" t="s">
        <v>168</v>
      </c>
      <c r="F16" s="2059" t="s">
        <v>168</v>
      </c>
      <c r="G16" s="2061"/>
      <c r="H16" s="348">
        <v>3</v>
      </c>
      <c r="I16" s="1635">
        <v>6</v>
      </c>
      <c r="J16" s="1635">
        <v>63</v>
      </c>
      <c r="K16" s="1635">
        <v>9</v>
      </c>
      <c r="L16" s="1635">
        <v>39</v>
      </c>
      <c r="M16" s="1635">
        <v>89</v>
      </c>
      <c r="N16" s="1635">
        <v>10</v>
      </c>
      <c r="O16" s="1628">
        <v>10</v>
      </c>
      <c r="P16" s="1628">
        <v>10</v>
      </c>
      <c r="Q16" s="1635">
        <v>10</v>
      </c>
      <c r="R16" s="1635">
        <v>10</v>
      </c>
      <c r="S16" s="1635">
        <v>10</v>
      </c>
      <c r="T16" s="1635">
        <v>10</v>
      </c>
      <c r="U16" s="1635">
        <v>10</v>
      </c>
      <c r="V16" s="1635">
        <v>10</v>
      </c>
      <c r="W16" s="163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B8FB5C-853A-5276-8476-F8887BB950DD}" mc:Ignorable="x14ac xr xr2 xr3">
  <sheetPr>
    <tabColor theme="9" tint="-0.25"/>
  </sheetPr>
  <dimension ref="A1:AL217"/>
  <sheetViews>
    <sheetView showGridLines="0" zoomScale="90" workbookViewId="0">
      <pane xSplit="8" ySplit="14" topLeftCell="R15" activePane="bottomRight" state="frozen"/>
      <selection pane="bottomLeft" activeCell="A15" sqref="A15"/>
      <selection pane="topRight" activeCell="I1" sqref="I1"/>
      <selection pane="bottomRight" activeCell="R9" sqref="R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6.00390625" customWidth="1"/>
    <col min="7" max="7" style="1639" width="10.00390625" customWidth="1"/>
    <col min="8" max="8" style="1639" width="40.7109375" hidden="1" customWidth="1"/>
    <col min="9" max="9" style="1639" width="40.00390625" customWidth="1"/>
    <col min="10" max="15" style="1639" width="40.7109375" customWidth="1"/>
    <col min="16" max="16" style="1639" width="102.00390625" customWidth="1"/>
    <col min="17" max="17" style="1370" width="9.00390625" customWidth="1"/>
    <col min="18" max="18" style="1646" width="5.00390625" customWidth="1"/>
    <col min="19" max="19" style="1646" width="3.00390625" customWidth="1"/>
    <col min="20" max="23" style="1370" width="3.00390625" customWidth="1"/>
    <col min="24" max="24" style="1646" width="10.00390625" customWidth="1"/>
    <col min="25" max="25" style="1370" width="34.00390625" customWidth="1"/>
    <col min="26" max="26" style="1370" width="9.00390625" customWidth="1"/>
    <col min="27" max="27" style="740" width="8.00390625" customWidth="1"/>
    <col min="28" max="32" style="1370" width="8.00390625" customWidth="1"/>
    <col min="33" max="37" style="1636" width="8.00390625" customWidth="1"/>
    <col min="38" max="38" style="1639" width="10.421875" hidden="1" customWidth="1"/>
  </cols>
  <sheetData>
    <row s="1370" customFormat="1" customHeight="1" ht="22.5" hidden="1">
      <c r="A1" s="991"/>
      <c r="C1" s="1640"/>
      <c r="D1" s="541"/>
      <c r="H1" s="1164">
        <v>4</v>
      </c>
      <c r="I1" s="1164">
        <v>4</v>
      </c>
      <c r="J1" s="1370" t="s">
        <v>90</v>
      </c>
      <c r="K1" s="1370" t="s">
        <v>90</v>
      </c>
      <c r="L1" s="1370">
        <v>4</v>
      </c>
      <c r="M1" s="1370">
        <v>4</v>
      </c>
      <c r="N1" s="1370">
        <v>4</v>
      </c>
      <c r="O1" s="1370">
        <v>4</v>
      </c>
      <c r="R1" s="1640"/>
      <c r="S1" s="1640"/>
      <c r="X1" s="1640"/>
      <c r="AL1" s="1164" t="s">
        <v>14</v>
      </c>
    </row>
    <row s="1370" customFormat="1" customHeight="1" ht="22.5" hidden="1">
      <c r="A2" s="991"/>
      <c r="C2" s="1640"/>
      <c r="D2" s="542"/>
      <c r="E2" s="1641"/>
      <c r="F2" s="544"/>
      <c r="G2" s="1643" t="s">
        <v>570</v>
      </c>
      <c r="H2" s="545"/>
      <c r="I2" s="545"/>
      <c r="J2" s="755"/>
      <c r="K2" s="755"/>
      <c r="L2" s="755"/>
      <c r="M2" s="755"/>
      <c r="N2" s="755"/>
      <c r="O2" s="755"/>
      <c r="P2" s="546" t="s">
        <v>963</v>
      </c>
      <c r="Q2" s="547"/>
      <c r="R2" s="1640"/>
      <c r="S2" s="1640"/>
      <c r="X2" s="1640"/>
      <c r="AA2" s="548"/>
      <c r="AG2" s="1636"/>
      <c r="AH2" s="1636"/>
      <c r="AI2" s="1636"/>
      <c r="AJ2" s="1636"/>
      <c r="AK2" s="1636"/>
      <c r="AL2" s="1164">
        <v>0</v>
      </c>
    </row>
    <row customHeight="1" ht="11.25" hidden="1">
      <c r="J3" s="1639"/>
      <c r="K3" s="1639"/>
      <c r="L3" s="1639"/>
      <c r="M3" s="1639"/>
      <c r="N3" s="1639"/>
      <c r="O3" s="1639"/>
      <c r="AL3" s="1635">
        <v>0</v>
      </c>
    </row>
    <row s="1636" customFormat="1" customHeight="1" ht="11.25" hidden="1">
      <c r="A4" s="991"/>
      <c r="B4" s="1164"/>
      <c r="C4" s="1640"/>
      <c r="D4" s="366"/>
      <c r="J4" s="1636"/>
      <c r="K4" s="1636"/>
      <c r="L4" s="1636"/>
      <c r="M4" s="1636"/>
      <c r="N4" s="1636"/>
      <c r="O4" s="1636"/>
      <c r="P4" s="1636">
        <v>4</v>
      </c>
      <c r="Q4" s="1164"/>
      <c r="R4" s="1640"/>
      <c r="S4" s="1640"/>
      <c r="T4" s="1164"/>
      <c r="U4" s="1164"/>
      <c r="V4" s="1164"/>
      <c r="W4" s="1164"/>
      <c r="X4" s="1640"/>
      <c r="Y4" s="1164"/>
      <c r="Z4" s="1164"/>
      <c r="AA4" s="548"/>
      <c r="AB4" s="1164"/>
      <c r="AC4" s="1164"/>
      <c r="AD4" s="1164"/>
      <c r="AE4" s="1164"/>
      <c r="AF4" s="1164"/>
      <c r="AL4" s="1636">
        <v>0</v>
      </c>
    </row>
    <row customHeight="1" ht="11.549999999999999">
      <c r="J5" s="1639"/>
      <c r="K5" s="1639"/>
      <c r="L5" s="1639"/>
      <c r="M5" s="1639"/>
      <c r="N5" s="1639"/>
      <c r="O5" s="1639"/>
      <c r="AL5" s="1635">
        <v>11</v>
      </c>
    </row>
    <row customHeight="1" ht="31.5">
      <c r="E6" s="2311" t="s">
        <v>964</v>
      </c>
      <c r="F6" s="2311"/>
      <c r="G6" s="2311"/>
      <c r="H6" s="2311"/>
      <c r="I6" s="2311"/>
      <c r="J6" s="2311"/>
      <c r="K6" s="2311"/>
      <c r="L6" s="2311"/>
      <c r="M6" s="2311"/>
      <c r="N6" s="2311"/>
      <c r="O6" s="2311"/>
      <c r="P6" s="560"/>
      <c r="AL6" s="1635">
        <v>30</v>
      </c>
    </row>
    <row customHeight="1" ht="11.549999999999999">
      <c r="E7" s="2253" t="str">
        <f>IF(org=0,"Не определено",org)</f>
        <v>АО "Теплоэнерго"</v>
      </c>
      <c r="F7" s="2253"/>
      <c r="G7" s="2253"/>
      <c r="H7" s="2253"/>
      <c r="I7" s="2253"/>
      <c r="J7" s="2253"/>
      <c r="K7" s="2253"/>
      <c r="L7" s="2253"/>
      <c r="M7" s="2253"/>
      <c r="N7" s="2253"/>
      <c r="O7" s="2253"/>
      <c r="AL7" s="1635">
        <v>11</v>
      </c>
    </row>
    <row customHeight="1" ht="11.549999999999999">
      <c r="E8" s="1139"/>
      <c r="F8" s="1139"/>
      <c r="G8" s="1139"/>
      <c r="H8" s="1139"/>
      <c r="I8" s="1139"/>
      <c r="J8" s="1140" t="s">
        <v>22</v>
      </c>
      <c r="K8" s="1140" t="s">
        <v>22</v>
      </c>
      <c r="L8" s="1140" t="s">
        <v>22</v>
      </c>
      <c r="M8" s="1140" t="s">
        <v>22</v>
      </c>
      <c r="N8" s="1140" t="s">
        <v>22</v>
      </c>
      <c r="O8" s="1140" t="s">
        <v>22</v>
      </c>
      <c r="AL8" s="1635">
        <v>11</v>
      </c>
    </row>
    <row s="1646" customFormat="1" customHeight="1" ht="4.2">
      <c r="A9" s="1171"/>
      <c r="D9" s="1646"/>
      <c r="H9" s="893"/>
      <c r="I9" s="893" t="s">
        <v>126</v>
      </c>
      <c r="J9" s="893" t="s">
        <v>130</v>
      </c>
      <c r="K9" s="893" t="s">
        <v>132</v>
      </c>
      <c r="L9" s="893" t="s">
        <v>134</v>
      </c>
      <c r="M9" s="893" t="s">
        <v>137</v>
      </c>
      <c r="N9" s="893" t="s">
        <v>136</v>
      </c>
      <c r="O9" s="893" t="s">
        <v>139</v>
      </c>
      <c r="AL9" s="1640">
        <v>4</v>
      </c>
    </row>
    <row customHeight="1" ht="11.549999999999999">
      <c r="E10" s="715"/>
      <c r="F10" s="2371" t="s">
        <v>115</v>
      </c>
      <c r="G10" s="2372"/>
      <c r="H10" s="1556" t="str">
        <f>IF(H9="","",INDEX(DIFFERENTIATION_UNMERGE_VD,MATCH(H9,DIFFERENTIATION_ID_DIFF,0)))</f>
        <v/>
      </c>
      <c r="I10" s="1556"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397"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397" t="str">
        <f>IF(K9="","",INDEX(DIFFERENTIATION_UNMERGE_VD,MATCH(K9,DIFFERENTIATION_ID_DIFF,0)))</f>
        <v>Производство тепловой энергии. Некомбинированная выработка; Передача. Тепловая энергия</v>
      </c>
      <c r="L10" s="2397" t="str">
        <f>IF(L9="","",INDEX(DIFFERENTIATION_UNMERGE_VD,MATCH(L9,DIFFERENTIATION_ID_DIFF,0)))</f>
        <v>Производство. Теплоноситель</v>
      </c>
      <c r="M10" s="2397" t="str">
        <f>IF(M9="","",INDEX(DIFFERENTIATION_UNMERGE_VD,MATCH(M9,DIFFERENTIATION_ID_DIFF,0)))</f>
        <v>Подключение (технологическое присоединение) к системе теплоснабжения</v>
      </c>
      <c r="N10" s="2397" t="str">
        <f>IF(N9="","",INDEX(DIFFERENTIATION_UNMERGE_VD,MATCH(N9,DIFFERENTIATION_ID_DIFF,0)))</f>
        <v>Производство. Теплоноситель</v>
      </c>
      <c r="O10" s="2397" t="str">
        <f>IF(O9="","",INDEX(DIFFERENTIATION_UNMERGE_VD,MATCH(O9,DIFFERENTIATION_ID_DIFF,0)))</f>
        <v>Поддержание резервной тепловой мощности при отсутствии потребления тепловой энергии</v>
      </c>
      <c r="P10" s="2131"/>
      <c r="AL10" s="1635">
        <v>11</v>
      </c>
    </row>
    <row customHeight="1" ht="11.549999999999999">
      <c r="E11" s="715"/>
      <c r="F11" s="2371" t="s">
        <v>582</v>
      </c>
      <c r="G11" s="2372"/>
      <c r="H11" s="1556" t="str">
        <f>IF(H9="","",INDEX(DIFFERENTIATION_UNMERGE_AREA,MATCH(H9,DIFFERENTIATION_ID_DIFF,0)))</f>
        <v/>
      </c>
      <c r="I11" s="1556" t="str">
        <f>IF(I9="","",INDEX(DIFFERENTIATION_UNMERGE_AREA,MATCH(I9,DIFFERENTIATION_ID_DIFF,0)))</f>
        <v>Территория 1</v>
      </c>
      <c r="J11" s="2397" t="str">
        <f>IF(J9="","",INDEX(DIFFERENTIATION_UNMERGE_AREA,MATCH(J9,DIFFERENTIATION_ID_DIFF,0)))</f>
        <v>Территория 3</v>
      </c>
      <c r="K11" s="2397" t="str">
        <f>IF(K9="","",INDEX(DIFFERENTIATION_UNMERGE_AREA,MATCH(K9,DIFFERENTIATION_ID_DIFF,0)))</f>
        <v>Территория 2</v>
      </c>
      <c r="L11" s="2397" t="str">
        <f>IF(L9="","",INDEX(DIFFERENTIATION_UNMERGE_AREA,MATCH(L9,DIFFERENTIATION_ID_DIFF,0)))</f>
        <v>Территория 1</v>
      </c>
      <c r="M11" s="2397" t="str">
        <f>IF(M9="","",INDEX(DIFFERENTIATION_UNMERGE_AREA,MATCH(M9,DIFFERENTIATION_ID_DIFF,0)))</f>
        <v>Территория 1</v>
      </c>
      <c r="N11" s="2397" t="str">
        <f>IF(N9="","",INDEX(DIFFERENTIATION_UNMERGE_AREA,MATCH(N9,DIFFERENTIATION_ID_DIFF,0)))</f>
        <v>Территория 2</v>
      </c>
      <c r="O11" s="2397" t="str">
        <f>IF(O9="","",INDEX(DIFFERENTIATION_UNMERGE_AREA,MATCH(O9,DIFFERENTIATION_ID_DIFF,0)))</f>
        <v>Территория 1</v>
      </c>
      <c r="P11" s="2131"/>
      <c r="AL11" s="1635">
        <v>11</v>
      </c>
    </row>
    <row customHeight="1" ht="1.05">
      <c r="E12" s="1666"/>
      <c r="F12" s="2394" t="s">
        <v>583</v>
      </c>
      <c r="G12" s="2395"/>
      <c r="H12" s="1667" t="str">
        <f>IF(H9="","",INDEX(DIFFERENTIATION_UNMERGE_SYSTEM,MATCH(H9,DIFFERENTIATION_ID_DIFF,0)))</f>
        <v/>
      </c>
      <c r="I12" s="1667" t="str">
        <f>IF(I9="","",INDEX(DIFFERENTIATION_UNMERGE_SYSTEM,MATCH(I9,DIFFERENTIATION_ID_DIFF,0)))</f>
        <v>без дифференциации</v>
      </c>
      <c r="J12" s="1667" t="str">
        <f>IF(J9="","",INDEX(DIFFERENTIATION_UNMERGE_SYSTEM,MATCH(J9,DIFFERENTIATION_ID_DIFF,0)))</f>
        <v>без дифференциации</v>
      </c>
      <c r="K12" s="1667" t="str">
        <f>IF(K9="","",INDEX(DIFFERENTIATION_UNMERGE_SYSTEM,MATCH(K9,DIFFERENTIATION_ID_DIFF,0)))</f>
        <v>без дифференциации</v>
      </c>
      <c r="L12" s="1667" t="str">
        <f>IF(L9="","",INDEX(DIFFERENTIATION_UNMERGE_SYSTEM,MATCH(L9,DIFFERENTIATION_ID_DIFF,0)))</f>
        <v>без дифференциации</v>
      </c>
      <c r="M12" s="1667" t="str">
        <f>IF(M9="","",INDEX(DIFFERENTIATION_UNMERGE_SYSTEM,MATCH(M9,DIFFERENTIATION_ID_DIFF,0)))</f>
        <v>без дифференциации</v>
      </c>
      <c r="N12" s="1667" t="str">
        <f>IF(N9="","",INDEX(DIFFERENTIATION_UNMERGE_SYSTEM,MATCH(N9,DIFFERENTIATION_ID_DIFF,0)))</f>
        <v>без дифференциации</v>
      </c>
      <c r="O12" s="1667" t="str">
        <f>IF(O9="","",INDEX(DIFFERENTIATION_UNMERGE_SYSTEM,MATCH(O9,DIFFERENTIATION_ID_DIFF,0)))</f>
        <v>без дифференциации</v>
      </c>
      <c r="P12" s="2131"/>
      <c r="AL12" s="1635">
        <v>1</v>
      </c>
    </row>
    <row customHeight="1" ht="11.549999999999999">
      <c r="E13" s="2373" t="s">
        <v>318</v>
      </c>
      <c r="F13" s="2374"/>
      <c r="G13" s="2374"/>
      <c r="H13" s="1555"/>
      <c r="I13" s="1555"/>
      <c r="J13" s="2371"/>
      <c r="K13" s="2371"/>
      <c r="L13" s="2371"/>
      <c r="M13" s="2371"/>
      <c r="N13" s="2371"/>
      <c r="O13" s="2371"/>
      <c r="P13" s="2131"/>
      <c r="AL13" s="1635">
        <v>11</v>
      </c>
    </row>
    <row customHeight="1" ht="24">
      <c r="E14" s="1643" t="s">
        <v>88</v>
      </c>
      <c r="F14" s="1638" t="s">
        <v>320</v>
      </c>
      <c r="G14" s="1638" t="s">
        <v>584</v>
      </c>
      <c r="H14" s="1638" t="s">
        <v>321</v>
      </c>
      <c r="I14" s="1638" t="s">
        <v>321</v>
      </c>
      <c r="J14" s="2370" t="s">
        <v>321</v>
      </c>
      <c r="K14" s="2370" t="s">
        <v>321</v>
      </c>
      <c r="L14" s="2370" t="s">
        <v>321</v>
      </c>
      <c r="M14" s="2370" t="s">
        <v>321</v>
      </c>
      <c r="N14" s="2370" t="s">
        <v>321</v>
      </c>
      <c r="O14" s="2370" t="s">
        <v>321</v>
      </c>
      <c r="P14" s="2131"/>
      <c r="AL14" s="1635">
        <v>23</v>
      </c>
    </row>
    <row customHeight="1" ht="19.95">
      <c r="D15" s="1642"/>
      <c r="E15" s="1634" t="s">
        <v>119</v>
      </c>
      <c r="F15" s="711" t="s">
        <v>965</v>
      </c>
      <c r="G15" s="1650" t="s">
        <v>570</v>
      </c>
      <c r="H15" s="561"/>
      <c r="I15" s="561"/>
      <c r="J15" s="561"/>
      <c r="K15" s="561"/>
      <c r="L15" s="561"/>
      <c r="M15" s="561"/>
      <c r="N15" s="561"/>
      <c r="O15" s="561"/>
      <c r="P15" s="293" t="s">
        <v>966</v>
      </c>
      <c r="Q15" s="547" t="s">
        <v>891</v>
      </c>
      <c r="AL15" s="1635">
        <v>19</v>
      </c>
    </row>
    <row customHeight="1" ht="35.699999999999996">
      <c r="D16" s="1642"/>
      <c r="E16" s="1634" t="s">
        <v>103</v>
      </c>
      <c r="F16" s="711" t="s">
        <v>967</v>
      </c>
      <c r="G16" s="1650" t="s">
        <v>570</v>
      </c>
      <c r="H16" s="562">
        <f>SUM(H17,H20,H23,H26,H29:H32,H35)</f>
        <v>0</v>
      </c>
      <c r="I16" s="562">
        <f>SUM(I17,I20,I23,I26,I29:I32,I35)</f>
        <v>0</v>
      </c>
      <c r="J16" s="562">
        <f>SUM(J17,J20,J23,J26,J29:J32,J35)</f>
        <v>0</v>
      </c>
      <c r="K16" s="562">
        <f>SUM(K17,K20,K23,K26,K29:K32,K35)</f>
        <v>0</v>
      </c>
      <c r="L16" s="562">
        <f>SUM(L17,L20,L23,L26,L29:L32,L35)</f>
        <v>0</v>
      </c>
      <c r="M16" s="562">
        <f>SUM(M17,M20,M23,M26,M29:M32,M35)</f>
        <v>0</v>
      </c>
      <c r="N16" s="562">
        <f>SUM(N17,N20,N23,N26,N29:N32,N35)</f>
        <v>0</v>
      </c>
      <c r="O16" s="562">
        <f>SUM(O17,O20,O23,O26,O29:O32,O35)</f>
        <v>0</v>
      </c>
      <c r="P16" s="293" t="s">
        <v>968</v>
      </c>
      <c r="Q16" s="547" t="s">
        <v>891</v>
      </c>
      <c r="AL16" s="1635">
        <v>34</v>
      </c>
    </row>
    <row customHeight="1" ht="19.95">
      <c r="D17" s="1642"/>
      <c r="E17" s="1668" t="s">
        <v>969</v>
      </c>
      <c r="F17" s="958" t="s">
        <v>970</v>
      </c>
      <c r="G17" s="1647" t="s">
        <v>570</v>
      </c>
      <c r="H17" s="561"/>
      <c r="I17" s="561"/>
      <c r="J17" s="561"/>
      <c r="K17" s="561"/>
      <c r="L17" s="561"/>
      <c r="M17" s="561"/>
      <c r="N17" s="561"/>
      <c r="O17" s="561"/>
      <c r="P17" s="293" t="s">
        <v>971</v>
      </c>
      <c r="Q17" s="547"/>
      <c r="AL17" s="1635">
        <v>19</v>
      </c>
    </row>
    <row customHeight="1" ht="24">
      <c r="D18" s="1642"/>
      <c r="E18" s="1668" t="s">
        <v>972</v>
      </c>
      <c r="F18" s="1654" t="s">
        <v>973</v>
      </c>
      <c r="G18" s="1647" t="s">
        <v>570</v>
      </c>
      <c r="H18" s="561"/>
      <c r="I18" s="561"/>
      <c r="J18" s="561"/>
      <c r="K18" s="561"/>
      <c r="L18" s="561"/>
      <c r="M18" s="561"/>
      <c r="N18" s="561"/>
      <c r="O18" s="561"/>
      <c r="P18" s="293" t="s">
        <v>974</v>
      </c>
      <c r="Q18" s="547"/>
      <c r="AL18" s="1635">
        <v>23</v>
      </c>
    </row>
    <row customHeight="1" ht="35.699999999999996">
      <c r="D19" s="1642"/>
      <c r="E19" s="1668" t="s">
        <v>975</v>
      </c>
      <c r="F19" s="1654" t="s">
        <v>976</v>
      </c>
      <c r="G19" s="1647" t="s">
        <v>570</v>
      </c>
      <c r="H19" s="561"/>
      <c r="I19" s="561"/>
      <c r="J19" s="561"/>
      <c r="K19" s="561"/>
      <c r="L19" s="561"/>
      <c r="M19" s="561"/>
      <c r="N19" s="561"/>
      <c r="O19" s="561"/>
      <c r="P19" s="293"/>
      <c r="Q19" s="547"/>
      <c r="AL19" s="1635">
        <v>34</v>
      </c>
    </row>
    <row customHeight="1" ht="19.95">
      <c r="D20" s="1642"/>
      <c r="E20" s="1668" t="s">
        <v>325</v>
      </c>
      <c r="F20" s="958" t="s">
        <v>977</v>
      </c>
      <c r="G20" s="1647" t="s">
        <v>570</v>
      </c>
      <c r="H20" s="561"/>
      <c r="I20" s="561"/>
      <c r="J20" s="561"/>
      <c r="K20" s="561"/>
      <c r="L20" s="561"/>
      <c r="M20" s="561"/>
      <c r="N20" s="561"/>
      <c r="O20" s="561"/>
      <c r="P20" s="293" t="s">
        <v>978</v>
      </c>
      <c r="Q20" s="547"/>
      <c r="AL20" s="1635">
        <v>19</v>
      </c>
    </row>
    <row customHeight="1" ht="19.95">
      <c r="D21" s="1642"/>
      <c r="E21" s="1668" t="s">
        <v>979</v>
      </c>
      <c r="F21" s="1654" t="s">
        <v>980</v>
      </c>
      <c r="G21" s="1647" t="s">
        <v>570</v>
      </c>
      <c r="H21" s="561"/>
      <c r="I21" s="561"/>
      <c r="J21" s="561"/>
      <c r="K21" s="561"/>
      <c r="L21" s="561"/>
      <c r="M21" s="561"/>
      <c r="N21" s="561"/>
      <c r="O21" s="561"/>
      <c r="P21" s="293"/>
      <c r="Q21" s="547"/>
      <c r="AL21" s="1635">
        <v>19</v>
      </c>
    </row>
    <row customHeight="1" ht="19.95">
      <c r="D22" s="1642"/>
      <c r="E22" s="1668" t="s">
        <v>981</v>
      </c>
      <c r="F22" s="1654" t="s">
        <v>982</v>
      </c>
      <c r="G22" s="1647" t="s">
        <v>570</v>
      </c>
      <c r="H22" s="561"/>
      <c r="I22" s="561"/>
      <c r="J22" s="561"/>
      <c r="K22" s="561"/>
      <c r="L22" s="561"/>
      <c r="M22" s="561"/>
      <c r="N22" s="561"/>
      <c r="O22" s="561"/>
      <c r="P22" s="293"/>
      <c r="Q22" s="547"/>
      <c r="AL22" s="1635">
        <v>19</v>
      </c>
    </row>
    <row customHeight="1" ht="24">
      <c r="D23" s="1642"/>
      <c r="E23" s="1668" t="s">
        <v>328</v>
      </c>
      <c r="F23" s="958" t="s">
        <v>983</v>
      </c>
      <c r="G23" s="1647" t="s">
        <v>570</v>
      </c>
      <c r="H23" s="561"/>
      <c r="I23" s="561"/>
      <c r="J23" s="561"/>
      <c r="K23" s="561"/>
      <c r="L23" s="561"/>
      <c r="M23" s="561"/>
      <c r="N23" s="561"/>
      <c r="O23" s="561"/>
      <c r="P23" s="293" t="s">
        <v>984</v>
      </c>
      <c r="Q23" s="547"/>
      <c r="AL23" s="1635">
        <v>23</v>
      </c>
    </row>
    <row customHeight="1" ht="19.95">
      <c r="D24" s="1642"/>
      <c r="E24" s="1668" t="s">
        <v>985</v>
      </c>
      <c r="F24" s="1654" t="s">
        <v>986</v>
      </c>
      <c r="G24" s="1647" t="s">
        <v>570</v>
      </c>
      <c r="H24" s="561"/>
      <c r="I24" s="561"/>
      <c r="J24" s="561"/>
      <c r="K24" s="561"/>
      <c r="L24" s="561"/>
      <c r="M24" s="561"/>
      <c r="N24" s="561"/>
      <c r="O24" s="561"/>
      <c r="P24" s="293"/>
      <c r="Q24" s="547"/>
      <c r="AL24" s="1635">
        <v>19</v>
      </c>
    </row>
    <row customHeight="1" ht="35.699999999999996">
      <c r="D25" s="1642"/>
      <c r="E25" s="1668" t="s">
        <v>987</v>
      </c>
      <c r="F25" s="1654" t="s">
        <v>988</v>
      </c>
      <c r="G25" s="1647" t="s">
        <v>570</v>
      </c>
      <c r="H25" s="561"/>
      <c r="I25" s="561"/>
      <c r="J25" s="561"/>
      <c r="K25" s="561"/>
      <c r="L25" s="561"/>
      <c r="M25" s="561"/>
      <c r="N25" s="561"/>
      <c r="O25" s="561"/>
      <c r="P25" s="293"/>
      <c r="Q25" s="547"/>
      <c r="AL25" s="1635">
        <v>34</v>
      </c>
    </row>
    <row customHeight="1" ht="24">
      <c r="D26" s="1642"/>
      <c r="E26" s="1668" t="s">
        <v>989</v>
      </c>
      <c r="F26" s="958" t="s">
        <v>990</v>
      </c>
      <c r="G26" s="1647" t="s">
        <v>570</v>
      </c>
      <c r="H26" s="561"/>
      <c r="I26" s="561"/>
      <c r="J26" s="561"/>
      <c r="K26" s="561"/>
      <c r="L26" s="561"/>
      <c r="M26" s="561"/>
      <c r="N26" s="561"/>
      <c r="O26" s="561"/>
      <c r="P26" s="293" t="s">
        <v>991</v>
      </c>
      <c r="Q26" s="547"/>
      <c r="AL26" s="1635">
        <v>23</v>
      </c>
    </row>
    <row customHeight="1" ht="19.95">
      <c r="D27" s="1642"/>
      <c r="E27" s="1679" t="s">
        <v>992</v>
      </c>
      <c r="F27" s="1654" t="s">
        <v>993</v>
      </c>
      <c r="G27" s="1658" t="s">
        <v>570</v>
      </c>
      <c r="H27" s="1680"/>
      <c r="I27" s="1680"/>
      <c r="J27" s="1680"/>
      <c r="K27" s="1680"/>
      <c r="L27" s="1680"/>
      <c r="M27" s="1680"/>
      <c r="N27" s="1680"/>
      <c r="O27" s="1680"/>
      <c r="P27" s="293"/>
      <c r="Q27" s="547"/>
      <c r="AL27" s="1635">
        <v>19</v>
      </c>
    </row>
    <row customHeight="1" ht="19.95">
      <c r="D28" s="1642"/>
      <c r="E28" s="1679" t="s">
        <v>994</v>
      </c>
      <c r="F28" s="1654" t="s">
        <v>995</v>
      </c>
      <c r="G28" s="1658" t="s">
        <v>570</v>
      </c>
      <c r="H28" s="1680"/>
      <c r="I28" s="1680"/>
      <c r="J28" s="1680"/>
      <c r="K28" s="1680"/>
      <c r="L28" s="1680"/>
      <c r="M28" s="1680"/>
      <c r="N28" s="1680"/>
      <c r="O28" s="1680"/>
      <c r="P28" s="293"/>
      <c r="Q28" s="547"/>
      <c r="AL28" s="1635">
        <v>19</v>
      </c>
    </row>
    <row customHeight="1" ht="19.95">
      <c r="D29" s="1642"/>
      <c r="E29" s="1679" t="s">
        <v>996</v>
      </c>
      <c r="F29" s="958" t="s">
        <v>997</v>
      </c>
      <c r="G29" s="1658" t="s">
        <v>570</v>
      </c>
      <c r="H29" s="1680"/>
      <c r="I29" s="1680"/>
      <c r="J29" s="1680"/>
      <c r="K29" s="1680"/>
      <c r="L29" s="1680"/>
      <c r="M29" s="1680"/>
      <c r="N29" s="1680"/>
      <c r="O29" s="1680"/>
      <c r="P29" s="293"/>
      <c r="Q29" s="547"/>
      <c r="AL29" s="1635">
        <v>19</v>
      </c>
    </row>
    <row customHeight="1" ht="19.95">
      <c r="D30" s="1642"/>
      <c r="E30" s="1679" t="s">
        <v>998</v>
      </c>
      <c r="F30" s="958" t="s">
        <v>999</v>
      </c>
      <c r="G30" s="1658" t="s">
        <v>570</v>
      </c>
      <c r="H30" s="1680"/>
      <c r="I30" s="1680"/>
      <c r="J30" s="1680"/>
      <c r="K30" s="1680"/>
      <c r="L30" s="1680"/>
      <c r="M30" s="1680"/>
      <c r="N30" s="1680"/>
      <c r="O30" s="1680"/>
      <c r="P30" s="293"/>
      <c r="Q30" s="547"/>
      <c r="AL30" s="1635">
        <v>19</v>
      </c>
    </row>
    <row customHeight="1" ht="19.95">
      <c r="D31" s="1642"/>
      <c r="E31" s="1679" t="s">
        <v>1000</v>
      </c>
      <c r="F31" s="958" t="s">
        <v>1001</v>
      </c>
      <c r="G31" s="1658" t="s">
        <v>570</v>
      </c>
      <c r="H31" s="1680"/>
      <c r="I31" s="1680"/>
      <c r="J31" s="1680"/>
      <c r="K31" s="1680"/>
      <c r="L31" s="1680"/>
      <c r="M31" s="1680"/>
      <c r="N31" s="1680"/>
      <c r="O31" s="1680"/>
      <c r="P31" s="293"/>
      <c r="Q31" s="547"/>
      <c r="AL31" s="1635">
        <v>19</v>
      </c>
    </row>
    <row s="1370" customFormat="1" customHeight="1" ht="35.699999999999996">
      <c r="A32" s="991"/>
      <c r="C32" s="1640"/>
      <c r="D32" s="1642"/>
      <c r="E32" s="1679" t="s">
        <v>1002</v>
      </c>
      <c r="F32" s="958" t="s">
        <v>1003</v>
      </c>
      <c r="G32" s="1648" t="s">
        <v>570</v>
      </c>
      <c r="H32" s="583">
        <f>SUM(H33:H34)</f>
        <v>0</v>
      </c>
      <c r="I32" s="583">
        <f>SUM(I33:I34)</f>
        <v>0</v>
      </c>
      <c r="J32" s="583">
        <f>SUM(J33:J34)</f>
        <v>0</v>
      </c>
      <c r="K32" s="583">
        <f>SUM(K33:K34)</f>
        <v>0</v>
      </c>
      <c r="L32" s="583">
        <f>SUM(L33:L34)</f>
        <v>0</v>
      </c>
      <c r="M32" s="583">
        <f>SUM(M33:M34)</f>
        <v>0</v>
      </c>
      <c r="N32" s="583">
        <f>SUM(N33:N34)</f>
        <v>0</v>
      </c>
      <c r="O32" s="583">
        <f>SUM(O33:O34)</f>
        <v>0</v>
      </c>
      <c r="P32" s="293" t="s">
        <v>1004</v>
      </c>
      <c r="Q32" s="547"/>
      <c r="R32" s="1640"/>
      <c r="S32" s="1640"/>
      <c r="X32" s="1640"/>
      <c r="AA32" s="548"/>
      <c r="AG32" s="1636"/>
      <c r="AH32" s="1636"/>
      <c r="AI32" s="1636"/>
      <c r="AJ32" s="1636"/>
      <c r="AK32" s="1636"/>
      <c r="AL32" s="1164">
        <v>34</v>
      </c>
    </row>
    <row s="1646" customFormat="1" customHeight="1" ht="1.05">
      <c r="A33" s="1171"/>
      <c r="D33" s="552"/>
      <c r="E33" s="806" t="str">
        <f>E32&amp;".0"</f>
        <v>2.8.0</v>
      </c>
      <c r="F33" s="995"/>
      <c r="G33" s="555"/>
      <c r="H33" s="996"/>
      <c r="I33" s="996"/>
      <c r="J33" s="996"/>
      <c r="K33" s="996"/>
      <c r="L33" s="996"/>
      <c r="M33" s="996"/>
      <c r="N33" s="996"/>
      <c r="O33" s="996"/>
      <c r="P33" s="997"/>
      <c r="AL33" s="1640">
        <v>1</v>
      </c>
    </row>
    <row s="1370" customFormat="1" customHeight="1" ht="19.95">
      <c r="A34" s="991"/>
      <c r="C34" s="1640"/>
      <c r="D34" s="1637"/>
      <c r="E34" s="574"/>
      <c r="F34" s="1670" t="s">
        <v>604</v>
      </c>
      <c r="G34" s="576"/>
      <c r="H34" s="577"/>
      <c r="I34" s="577"/>
      <c r="J34" s="2689"/>
      <c r="K34" s="2690"/>
      <c r="L34" s="2691"/>
      <c r="M34" s="2692"/>
      <c r="N34" s="2693"/>
      <c r="O34" s="2694"/>
      <c r="P34" s="305" t="s">
        <v>1005</v>
      </c>
      <c r="Q34" s="547"/>
      <c r="R34" s="1640"/>
      <c r="S34" s="1640"/>
      <c r="X34" s="1640"/>
      <c r="AA34" s="548"/>
      <c r="AG34" s="1636"/>
      <c r="AH34" s="1636"/>
      <c r="AI34" s="1636"/>
      <c r="AJ34" s="1636"/>
      <c r="AK34" s="1636"/>
      <c r="AL34" s="1164">
        <v>19</v>
      </c>
    </row>
    <row customHeight="1" ht="60">
      <c r="D35" s="1642"/>
      <c r="E35" s="1679" t="s">
        <v>1006</v>
      </c>
      <c r="F35" s="958" t="s">
        <v>1007</v>
      </c>
      <c r="G35" s="1658" t="s">
        <v>570</v>
      </c>
      <c r="H35" s="1680"/>
      <c r="I35" s="1680"/>
      <c r="J35" s="1680"/>
      <c r="K35" s="1680"/>
      <c r="L35" s="1680"/>
      <c r="M35" s="1680"/>
      <c r="N35" s="1680"/>
      <c r="O35" s="1680"/>
      <c r="P35" s="293" t="s">
        <v>1008</v>
      </c>
      <c r="Q35" s="547"/>
      <c r="AL35" s="1635">
        <v>57</v>
      </c>
    </row>
    <row s="1370" customFormat="1" customHeight="1" ht="24">
      <c r="A36" s="993" t="s">
        <v>605</v>
      </c>
      <c r="C36" s="1640"/>
      <c r="D36" s="1642"/>
      <c r="E36" s="1668" t="s">
        <v>90</v>
      </c>
      <c r="F36" s="711" t="s">
        <v>1009</v>
      </c>
      <c r="G36" s="1647" t="s">
        <v>570</v>
      </c>
      <c r="H36" s="561"/>
      <c r="I36" s="561"/>
      <c r="J36" s="561"/>
      <c r="K36" s="561"/>
      <c r="L36" s="561"/>
      <c r="M36" s="561"/>
      <c r="N36" s="561"/>
      <c r="O36" s="561"/>
      <c r="P36" s="293" t="s">
        <v>1010</v>
      </c>
      <c r="Q36" s="547"/>
      <c r="R36" s="1640"/>
      <c r="S36" s="1640"/>
      <c r="X36" s="1640"/>
      <c r="AA36" s="548"/>
      <c r="AG36" s="1636"/>
      <c r="AH36" s="1636"/>
      <c r="AI36" s="1636"/>
      <c r="AJ36" s="1636"/>
      <c r="AK36" s="1636"/>
      <c r="AL36" s="1164">
        <v>23</v>
      </c>
    </row>
    <row s="1370" customFormat="1" customHeight="1" ht="35.699999999999996">
      <c r="A37" s="993"/>
      <c r="C37" s="1640"/>
      <c r="D37" s="1642"/>
      <c r="E37" s="1668" t="s">
        <v>342</v>
      </c>
      <c r="F37" s="958" t="s">
        <v>1011</v>
      </c>
      <c r="G37" s="1658"/>
      <c r="H37" s="561"/>
      <c r="I37" s="561"/>
      <c r="J37" s="561"/>
      <c r="K37" s="561"/>
      <c r="L37" s="561"/>
      <c r="M37" s="561"/>
      <c r="N37" s="561"/>
      <c r="O37" s="561"/>
      <c r="P37" s="293"/>
      <c r="Q37" s="547"/>
      <c r="R37" s="1640"/>
      <c r="S37" s="1640"/>
      <c r="X37" s="1640"/>
      <c r="AA37" s="548"/>
      <c r="AG37" s="1636"/>
      <c r="AH37" s="1636"/>
      <c r="AI37" s="1636"/>
      <c r="AJ37" s="1636"/>
      <c r="AK37" s="1636"/>
      <c r="AL37" s="1164">
        <v>34</v>
      </c>
    </row>
    <row s="1370" customFormat="1" customHeight="1" ht="19.95">
      <c r="A38" s="991"/>
      <c r="C38" s="1640"/>
      <c r="D38" s="579"/>
      <c r="E38" s="1668" t="s">
        <v>91</v>
      </c>
      <c r="F38" s="711" t="s">
        <v>1012</v>
      </c>
      <c r="G38" s="1647" t="s">
        <v>570</v>
      </c>
      <c r="H38" s="561"/>
      <c r="I38" s="561"/>
      <c r="J38" s="561"/>
      <c r="K38" s="561"/>
      <c r="L38" s="561"/>
      <c r="M38" s="561"/>
      <c r="N38" s="561"/>
      <c r="O38" s="561"/>
      <c r="P38" s="293" t="s">
        <v>1013</v>
      </c>
      <c r="Q38" s="547"/>
      <c r="R38" s="1640"/>
      <c r="S38" s="1640"/>
      <c r="X38" s="1640"/>
      <c r="AA38" s="548"/>
      <c r="AG38" s="1636"/>
      <c r="AH38" s="1636"/>
      <c r="AI38" s="1636"/>
      <c r="AJ38" s="1636"/>
      <c r="AK38" s="1636"/>
      <c r="AL38" s="1164">
        <v>19</v>
      </c>
    </row>
    <row s="1370" customFormat="1" customHeight="1" ht="24">
      <c r="A39" s="991"/>
      <c r="C39" s="1640"/>
      <c r="D39" s="579"/>
      <c r="E39" s="1668" t="s">
        <v>1014</v>
      </c>
      <c r="F39" s="958" t="s">
        <v>1015</v>
      </c>
      <c r="G39" s="1658" t="s">
        <v>570</v>
      </c>
      <c r="H39" s="561"/>
      <c r="I39" s="561"/>
      <c r="J39" s="561"/>
      <c r="K39" s="561"/>
      <c r="L39" s="561"/>
      <c r="M39" s="561"/>
      <c r="N39" s="561"/>
      <c r="O39" s="561"/>
      <c r="P39" s="293" t="s">
        <v>1016</v>
      </c>
      <c r="Q39" s="547"/>
      <c r="R39" s="1640"/>
      <c r="S39" s="1640"/>
      <c r="X39" s="1640"/>
      <c r="AA39" s="548"/>
      <c r="AG39" s="1636"/>
      <c r="AH39" s="1636"/>
      <c r="AI39" s="1636"/>
      <c r="AJ39" s="1636"/>
      <c r="AK39" s="1636"/>
      <c r="AL39" s="1164">
        <v>23</v>
      </c>
    </row>
    <row s="1370" customFormat="1" customHeight="1" ht="24">
      <c r="A40" s="991"/>
      <c r="C40" s="1640"/>
      <c r="D40" s="1642"/>
      <c r="E40" s="1668" t="s">
        <v>1017</v>
      </c>
      <c r="F40" s="1654" t="s">
        <v>1018</v>
      </c>
      <c r="G40" s="1647" t="s">
        <v>570</v>
      </c>
      <c r="H40" s="561"/>
      <c r="I40" s="561"/>
      <c r="J40" s="561"/>
      <c r="K40" s="561"/>
      <c r="L40" s="561"/>
      <c r="M40" s="561"/>
      <c r="N40" s="561"/>
      <c r="O40" s="561"/>
      <c r="P40" s="293" t="s">
        <v>1019</v>
      </c>
      <c r="Q40" s="547"/>
      <c r="R40" s="1640"/>
      <c r="S40" s="1640"/>
      <c r="X40" s="1640"/>
      <c r="AA40" s="548"/>
      <c r="AG40" s="1636"/>
      <c r="AH40" s="1636"/>
      <c r="AI40" s="1636"/>
      <c r="AJ40" s="1636"/>
      <c r="AK40" s="1636"/>
      <c r="AL40" s="1164">
        <v>23</v>
      </c>
    </row>
    <row s="1370" customFormat="1" customHeight="1" ht="24">
      <c r="A41" s="991"/>
      <c r="C41" s="1640"/>
      <c r="D41" s="1642"/>
      <c r="E41" s="1668" t="s">
        <v>1020</v>
      </c>
      <c r="F41" s="1654" t="s">
        <v>1021</v>
      </c>
      <c r="G41" s="1647" t="s">
        <v>570</v>
      </c>
      <c r="H41" s="561"/>
      <c r="I41" s="561"/>
      <c r="J41" s="561"/>
      <c r="K41" s="561"/>
      <c r="L41" s="561"/>
      <c r="M41" s="561"/>
      <c r="N41" s="561"/>
      <c r="O41" s="561"/>
      <c r="P41" s="293" t="s">
        <v>1022</v>
      </c>
      <c r="Q41" s="547"/>
      <c r="R41" s="1640"/>
      <c r="S41" s="1640"/>
      <c r="X41" s="1640"/>
      <c r="AA41" s="548"/>
      <c r="AG41" s="1636"/>
      <c r="AH41" s="1636"/>
      <c r="AI41" s="1636"/>
      <c r="AJ41" s="1636"/>
      <c r="AK41" s="1636"/>
      <c r="AL41" s="1164">
        <v>23</v>
      </c>
    </row>
    <row s="1370" customFormat="1" customHeight="1" ht="24">
      <c r="A42" s="991"/>
      <c r="C42" s="1640"/>
      <c r="D42" s="1642"/>
      <c r="E42" s="1668" t="s">
        <v>1023</v>
      </c>
      <c r="F42" s="1654" t="s">
        <v>1024</v>
      </c>
      <c r="G42" s="1647" t="s">
        <v>570</v>
      </c>
      <c r="H42" s="561"/>
      <c r="I42" s="561"/>
      <c r="J42" s="561"/>
      <c r="K42" s="561"/>
      <c r="L42" s="561"/>
      <c r="M42" s="561"/>
      <c r="N42" s="561"/>
      <c r="O42" s="561"/>
      <c r="P42" s="293" t="s">
        <v>1025</v>
      </c>
      <c r="Q42" s="547"/>
      <c r="R42" s="1640"/>
      <c r="S42" s="1640"/>
      <c r="X42" s="1640"/>
      <c r="AA42" s="548"/>
      <c r="AG42" s="1636"/>
      <c r="AH42" s="1636"/>
      <c r="AI42" s="1636"/>
      <c r="AJ42" s="1636"/>
      <c r="AK42" s="1636"/>
      <c r="AL42" s="1164">
        <v>23</v>
      </c>
    </row>
    <row s="1370" customFormat="1" customHeight="1" ht="35.699999999999996">
      <c r="A43" s="991"/>
      <c r="C43" s="1640" t="s">
        <v>728</v>
      </c>
      <c r="D43" s="1642"/>
      <c r="E43" s="1668" t="s">
        <v>120</v>
      </c>
      <c r="F43" s="711" t="s">
        <v>890</v>
      </c>
      <c r="G43" s="1650" t="s">
        <v>1026</v>
      </c>
      <c r="H43" s="2695"/>
      <c r="I43" s="2695"/>
      <c r="J43" s="2695"/>
      <c r="K43" s="2695"/>
      <c r="L43" s="2695"/>
      <c r="M43" s="2695"/>
      <c r="N43" s="2695"/>
      <c r="O43" s="2695"/>
      <c r="P43" s="293" t="s">
        <v>1027</v>
      </c>
      <c r="Q43" s="547"/>
      <c r="R43" s="1640"/>
      <c r="S43" s="1640"/>
      <c r="X43" s="1640"/>
      <c r="AA43" s="548"/>
      <c r="AG43" s="1636"/>
      <c r="AH43" s="1636"/>
      <c r="AI43" s="1636"/>
      <c r="AJ43" s="1636"/>
      <c r="AK43" s="1636"/>
      <c r="AL43" s="1164">
        <v>34</v>
      </c>
    </row>
    <row s="1370" customFormat="1" customHeight="1" ht="35.699999999999996">
      <c r="A44" s="991"/>
      <c r="C44" s="1640"/>
      <c r="D44" s="1642"/>
      <c r="E44" s="1668" t="s">
        <v>92</v>
      </c>
      <c r="F44" s="711" t="s">
        <v>1028</v>
      </c>
      <c r="G44" s="1647" t="s">
        <v>1029</v>
      </c>
      <c r="H44" s="549"/>
      <c r="I44" s="549"/>
      <c r="J44" s="549"/>
      <c r="K44" s="549"/>
      <c r="L44" s="549"/>
      <c r="M44" s="549"/>
      <c r="N44" s="549"/>
      <c r="O44" s="549"/>
      <c r="P44" s="293" t="s">
        <v>1030</v>
      </c>
      <c r="Q44" s="547"/>
      <c r="R44" s="1640"/>
      <c r="S44" s="1640"/>
      <c r="X44" s="1640"/>
      <c r="AA44" s="548"/>
      <c r="AG44" s="1636"/>
      <c r="AH44" s="1636"/>
      <c r="AI44" s="1636"/>
      <c r="AJ44" s="1636"/>
      <c r="AK44" s="1636"/>
      <c r="AL44" s="1164">
        <v>34</v>
      </c>
    </row>
    <row s="1370" customFormat="1" customHeight="1" ht="24">
      <c r="A45" s="991"/>
      <c r="C45" s="1640"/>
      <c r="D45" s="1642"/>
      <c r="E45" s="1668" t="s">
        <v>93</v>
      </c>
      <c r="F45" s="711" t="s">
        <v>1031</v>
      </c>
      <c r="G45" s="1658" t="s">
        <v>1032</v>
      </c>
      <c r="H45" s="549"/>
      <c r="I45" s="549"/>
      <c r="J45" s="549"/>
      <c r="K45" s="549"/>
      <c r="L45" s="549"/>
      <c r="M45" s="549"/>
      <c r="N45" s="549"/>
      <c r="O45" s="549"/>
      <c r="P45" s="293" t="s">
        <v>1033</v>
      </c>
      <c r="Q45" s="547"/>
      <c r="R45" s="1640"/>
      <c r="S45" s="1640"/>
      <c r="X45" s="1640"/>
      <c r="AA45" s="548"/>
      <c r="AG45" s="1636"/>
      <c r="AH45" s="1636"/>
      <c r="AI45" s="1636"/>
      <c r="AJ45" s="1636"/>
      <c r="AK45" s="1636"/>
      <c r="AL45" s="1164">
        <v>23</v>
      </c>
    </row>
    <row s="1370" customFormat="1" customHeight="1" ht="19.95">
      <c r="A46" s="991"/>
      <c r="C46" s="1640"/>
      <c r="D46" s="1642"/>
      <c r="E46" s="1668" t="s">
        <v>121</v>
      </c>
      <c r="F46" s="711" t="s">
        <v>1034</v>
      </c>
      <c r="G46" s="1647" t="s">
        <v>730</v>
      </c>
      <c r="H46" s="581"/>
      <c r="I46" s="581"/>
      <c r="J46" s="581"/>
      <c r="K46" s="581"/>
      <c r="L46" s="581"/>
      <c r="M46" s="581"/>
      <c r="N46" s="581"/>
      <c r="O46" s="581"/>
      <c r="P46" s="293"/>
      <c r="Q46" s="547"/>
      <c r="R46" s="1640"/>
      <c r="S46" s="1640"/>
      <c r="X46" s="1640"/>
      <c r="AA46" s="548"/>
      <c r="AG46" s="1636"/>
      <c r="AH46" s="1636"/>
      <c r="AI46" s="1636"/>
      <c r="AJ46" s="1636"/>
      <c r="AK46" s="1636"/>
      <c r="AL46" s="1164">
        <v>19</v>
      </c>
    </row>
    <row customHeight="1" ht="11.549999999999999">
      <c r="D47" s="1642"/>
      <c r="J47" s="1639"/>
      <c r="K47" s="1639"/>
      <c r="L47" s="1639"/>
      <c r="M47" s="1639"/>
      <c r="N47" s="1639"/>
      <c r="O47" s="1639"/>
      <c r="AL47" s="1635">
        <v>11</v>
      </c>
    </row>
    <row s="1645" customFormat="1" customHeight="1" ht="11.549999999999999">
      <c r="A48" s="991"/>
      <c r="B48" s="1640"/>
      <c r="C48" s="1640"/>
      <c r="D48" s="355"/>
      <c r="J48" s="1645"/>
      <c r="K48" s="1645"/>
      <c r="L48" s="1645"/>
      <c r="M48" s="1645"/>
      <c r="N48" s="1645"/>
      <c r="O48" s="1645"/>
      <c r="Q48" s="1164"/>
      <c r="R48" s="1640"/>
      <c r="S48" s="1640"/>
      <c r="T48" s="1164"/>
      <c r="U48" s="1164"/>
      <c r="V48" s="1164"/>
      <c r="W48" s="1164"/>
      <c r="X48" s="1640"/>
      <c r="Y48" s="1164"/>
      <c r="Z48" s="1164"/>
      <c r="AA48" s="548"/>
      <c r="AB48" s="1164"/>
      <c r="AC48" s="1164"/>
      <c r="AD48" s="1164"/>
      <c r="AE48" s="1164"/>
      <c r="AF48" s="1164"/>
      <c r="AG48" s="1636"/>
      <c r="AH48" s="570"/>
      <c r="AI48" s="570"/>
      <c r="AJ48" s="570"/>
      <c r="AK48" s="570"/>
      <c r="AL48" s="1645">
        <v>11</v>
      </c>
    </row>
    <row s="1645" customFormat="1" customHeight="1" ht="11.549999999999999">
      <c r="A49" s="991"/>
      <c r="B49" s="1640"/>
      <c r="C49" s="1640"/>
      <c r="D49" s="355"/>
      <c r="J49" s="1645"/>
      <c r="K49" s="1645"/>
      <c r="L49" s="1645"/>
      <c r="M49" s="1645"/>
      <c r="N49" s="1645"/>
      <c r="O49" s="1645"/>
      <c r="Q49" s="1164"/>
      <c r="R49" s="1640"/>
      <c r="S49" s="1640"/>
      <c r="T49" s="1164"/>
      <c r="U49" s="1164"/>
      <c r="V49" s="1164"/>
      <c r="W49" s="1164"/>
      <c r="X49" s="1640"/>
      <c r="Y49" s="1164"/>
      <c r="Z49" s="1164"/>
      <c r="AA49" s="548"/>
      <c r="AB49" s="1164"/>
      <c r="AC49" s="1164"/>
      <c r="AD49" s="1164"/>
      <c r="AE49" s="1164"/>
      <c r="AF49" s="1164"/>
      <c r="AG49" s="1636"/>
      <c r="AH49" s="570"/>
      <c r="AI49" s="570"/>
      <c r="AJ49" s="570"/>
      <c r="AK49" s="570"/>
      <c r="AL49" s="1645">
        <v>11</v>
      </c>
    </row>
    <row s="1645" customFormat="1" customHeight="1" ht="11.549999999999999">
      <c r="A50" s="991"/>
      <c r="B50" s="1640"/>
      <c r="C50" s="1640"/>
      <c r="D50" s="355"/>
      <c r="H50" s="570"/>
      <c r="I50" s="570"/>
      <c r="J50" s="626"/>
      <c r="K50" s="626"/>
      <c r="L50" s="626"/>
      <c r="M50" s="626"/>
      <c r="N50" s="626"/>
      <c r="O50" s="626"/>
      <c r="Q50" s="1164"/>
      <c r="R50" s="1640"/>
      <c r="S50" s="1640"/>
      <c r="T50" s="1164"/>
      <c r="U50" s="1164"/>
      <c r="V50" s="1164"/>
      <c r="W50" s="1164"/>
      <c r="X50" s="1640"/>
      <c r="Y50" s="1164"/>
      <c r="Z50" s="1164"/>
      <c r="AA50" s="548"/>
      <c r="AB50" s="1164"/>
      <c r="AC50" s="1164"/>
      <c r="AD50" s="1164"/>
      <c r="AE50" s="1164"/>
      <c r="AF50" s="1164"/>
      <c r="AG50" s="1636"/>
      <c r="AH50" s="570"/>
      <c r="AI50" s="570"/>
      <c r="AJ50" s="570"/>
      <c r="AK50" s="570"/>
      <c r="AL50" s="1645">
        <v>11</v>
      </c>
    </row>
    <row s="1645" customFormat="1" customHeight="1" ht="11.549999999999999">
      <c r="A51" s="991"/>
      <c r="B51" s="1640"/>
      <c r="C51" s="1640"/>
      <c r="D51" s="355"/>
      <c r="J51" s="1645"/>
      <c r="K51" s="1645"/>
      <c r="L51" s="1645"/>
      <c r="M51" s="1645"/>
      <c r="N51" s="1645"/>
      <c r="O51" s="1645"/>
      <c r="Q51" s="1164"/>
      <c r="R51" s="1640"/>
      <c r="S51" s="1640"/>
      <c r="T51" s="1164"/>
      <c r="U51" s="1164"/>
      <c r="V51" s="1164"/>
      <c r="W51" s="1164"/>
      <c r="X51" s="1640"/>
      <c r="Y51" s="1164"/>
      <c r="Z51" s="1164"/>
      <c r="AA51" s="548"/>
      <c r="AB51" s="1164"/>
      <c r="AC51" s="1164"/>
      <c r="AD51" s="1164"/>
      <c r="AE51" s="1164"/>
      <c r="AF51" s="1164"/>
      <c r="AG51" s="1636"/>
      <c r="AH51" s="570"/>
      <c r="AI51" s="570"/>
      <c r="AJ51" s="570"/>
      <c r="AK51" s="570"/>
      <c r="AL51" s="1645">
        <v>11</v>
      </c>
    </row>
    <row s="1645" customFormat="1" customHeight="1" ht="11.549999999999999">
      <c r="A52" s="991"/>
      <c r="B52" s="1640"/>
      <c r="C52" s="1640"/>
      <c r="D52" s="355"/>
      <c r="J52" s="1645"/>
      <c r="K52" s="1645"/>
      <c r="L52" s="1645"/>
      <c r="M52" s="1645"/>
      <c r="N52" s="1645"/>
      <c r="O52" s="1645"/>
      <c r="Q52" s="1164"/>
      <c r="R52" s="1640"/>
      <c r="S52" s="1640"/>
      <c r="T52" s="1164"/>
      <c r="U52" s="1164"/>
      <c r="V52" s="1164"/>
      <c r="W52" s="1164"/>
      <c r="X52" s="1640"/>
      <c r="Y52" s="1164"/>
      <c r="Z52" s="1164"/>
      <c r="AA52" s="548"/>
      <c r="AB52" s="1164"/>
      <c r="AC52" s="1164"/>
      <c r="AD52" s="1164"/>
      <c r="AE52" s="1164"/>
      <c r="AF52" s="1164"/>
      <c r="AG52" s="1636"/>
      <c r="AH52" s="570"/>
      <c r="AI52" s="570"/>
      <c r="AJ52" s="570"/>
      <c r="AK52" s="570"/>
      <c r="AL52" s="1645">
        <v>11</v>
      </c>
    </row>
    <row s="1645" customFormat="1" customHeight="1" ht="11.549999999999999">
      <c r="A53" s="991"/>
      <c r="B53" s="1640"/>
      <c r="C53" s="1640"/>
      <c r="D53" s="355"/>
      <c r="J53" s="1645"/>
      <c r="K53" s="1645"/>
      <c r="L53" s="1645"/>
      <c r="M53" s="1645"/>
      <c r="N53" s="1645"/>
      <c r="O53" s="1645"/>
      <c r="Q53" s="1164"/>
      <c r="R53" s="1640"/>
      <c r="S53" s="1640"/>
      <c r="T53" s="1164"/>
      <c r="U53" s="1164"/>
      <c r="V53" s="1164"/>
      <c r="W53" s="1164"/>
      <c r="X53" s="1640"/>
      <c r="Y53" s="1164"/>
      <c r="Z53" s="1164"/>
      <c r="AA53" s="548"/>
      <c r="AB53" s="1164"/>
      <c r="AC53" s="1164"/>
      <c r="AD53" s="1164"/>
      <c r="AE53" s="1164"/>
      <c r="AF53" s="1164"/>
      <c r="AG53" s="1636"/>
      <c r="AH53" s="570"/>
      <c r="AI53" s="570"/>
      <c r="AJ53" s="570"/>
      <c r="AK53" s="570"/>
      <c r="AL53" s="1645">
        <v>11</v>
      </c>
    </row>
    <row s="1645" customFormat="1" customHeight="1" ht="11.549999999999999">
      <c r="A54" s="991"/>
      <c r="B54" s="1640"/>
      <c r="C54" s="1640"/>
      <c r="D54" s="355"/>
      <c r="J54" s="1645"/>
      <c r="K54" s="1645"/>
      <c r="L54" s="1645"/>
      <c r="M54" s="1645"/>
      <c r="N54" s="1645"/>
      <c r="O54" s="1645"/>
      <c r="Q54" s="1164"/>
      <c r="R54" s="1640"/>
      <c r="S54" s="1640"/>
      <c r="T54" s="1164"/>
      <c r="U54" s="1164"/>
      <c r="V54" s="1164"/>
      <c r="W54" s="1164"/>
      <c r="X54" s="1640"/>
      <c r="Y54" s="1164"/>
      <c r="Z54" s="1164"/>
      <c r="AA54" s="548"/>
      <c r="AB54" s="1164"/>
      <c r="AC54" s="1164"/>
      <c r="AD54" s="1164"/>
      <c r="AE54" s="1164"/>
      <c r="AF54" s="1164"/>
      <c r="AG54" s="1636"/>
      <c r="AH54" s="570"/>
      <c r="AI54" s="570"/>
      <c r="AJ54" s="570"/>
      <c r="AK54" s="570"/>
      <c r="AL54" s="1645">
        <v>11</v>
      </c>
    </row>
    <row s="1645" customFormat="1" customHeight="1" ht="11.549999999999999">
      <c r="A55" s="991"/>
      <c r="B55" s="1640"/>
      <c r="C55" s="1640"/>
      <c r="D55" s="355"/>
      <c r="J55" s="1645"/>
      <c r="K55" s="1645"/>
      <c r="L55" s="1645"/>
      <c r="M55" s="1645"/>
      <c r="N55" s="1645"/>
      <c r="O55" s="1645"/>
      <c r="Q55" s="1164"/>
      <c r="R55" s="1640"/>
      <c r="S55" s="1640"/>
      <c r="T55" s="1164"/>
      <c r="U55" s="1164"/>
      <c r="V55" s="1164"/>
      <c r="W55" s="1164"/>
      <c r="X55" s="1640"/>
      <c r="Y55" s="1164"/>
      <c r="Z55" s="1164"/>
      <c r="AA55" s="548"/>
      <c r="AB55" s="1164"/>
      <c r="AC55" s="1164"/>
      <c r="AD55" s="1164"/>
      <c r="AE55" s="1164"/>
      <c r="AF55" s="1164"/>
      <c r="AG55" s="1636"/>
      <c r="AH55" s="570"/>
      <c r="AI55" s="570"/>
      <c r="AJ55" s="570"/>
      <c r="AK55" s="570"/>
      <c r="AL55" s="1645">
        <v>11</v>
      </c>
    </row>
    <row s="1645" customFormat="1" customHeight="1" ht="11.549999999999999">
      <c r="A56" s="991"/>
      <c r="B56" s="1640"/>
      <c r="C56" s="1640"/>
      <c r="D56" s="355"/>
      <c r="J56" s="1645"/>
      <c r="K56" s="1645"/>
      <c r="L56" s="1645"/>
      <c r="M56" s="1645"/>
      <c r="N56" s="1645"/>
      <c r="O56" s="1645"/>
      <c r="Q56" s="1164"/>
      <c r="R56" s="1640"/>
      <c r="S56" s="1640"/>
      <c r="T56" s="1164"/>
      <c r="U56" s="1164"/>
      <c r="V56" s="1164"/>
      <c r="W56" s="1164"/>
      <c r="X56" s="1640"/>
      <c r="Y56" s="1164"/>
      <c r="Z56" s="1164"/>
      <c r="AA56" s="548"/>
      <c r="AB56" s="1164"/>
      <c r="AC56" s="1164"/>
      <c r="AD56" s="1164"/>
      <c r="AE56" s="1164"/>
      <c r="AF56" s="1164"/>
      <c r="AG56" s="1636"/>
      <c r="AH56" s="570"/>
      <c r="AI56" s="570"/>
      <c r="AJ56" s="570"/>
      <c r="AK56" s="570"/>
      <c r="AL56" s="1645">
        <v>11</v>
      </c>
    </row>
    <row s="1645" customFormat="1" customHeight="1" ht="11.549999999999999">
      <c r="A57" s="991"/>
      <c r="B57" s="1640"/>
      <c r="C57" s="1640"/>
      <c r="D57" s="355"/>
      <c r="J57" s="1645"/>
      <c r="K57" s="1645"/>
      <c r="L57" s="1645"/>
      <c r="M57" s="1645"/>
      <c r="N57" s="1645"/>
      <c r="O57" s="1645"/>
      <c r="Q57" s="1164"/>
      <c r="R57" s="1640"/>
      <c r="S57" s="1640"/>
      <c r="T57" s="1164"/>
      <c r="U57" s="1164"/>
      <c r="V57" s="1164"/>
      <c r="W57" s="1164"/>
      <c r="X57" s="1640"/>
      <c r="Y57" s="1164"/>
      <c r="Z57" s="1164"/>
      <c r="AA57" s="548"/>
      <c r="AB57" s="1164"/>
      <c r="AC57" s="1164"/>
      <c r="AD57" s="1164"/>
      <c r="AE57" s="1164"/>
      <c r="AF57" s="1164"/>
      <c r="AG57" s="1636"/>
      <c r="AH57" s="570"/>
      <c r="AI57" s="570"/>
      <c r="AJ57" s="570"/>
      <c r="AK57" s="570"/>
      <c r="AL57" s="1645">
        <v>11</v>
      </c>
    </row>
    <row s="1645" customFormat="1" customHeight="1" ht="11.549999999999999">
      <c r="A58" s="991"/>
      <c r="B58" s="1640"/>
      <c r="C58" s="1640"/>
      <c r="D58" s="355"/>
      <c r="J58" s="1645"/>
      <c r="K58" s="1645"/>
      <c r="L58" s="1645"/>
      <c r="M58" s="1645"/>
      <c r="N58" s="1645"/>
      <c r="O58" s="1645"/>
      <c r="Q58" s="1164"/>
      <c r="R58" s="1640"/>
      <c r="S58" s="1640"/>
      <c r="T58" s="1164"/>
      <c r="U58" s="1164"/>
      <c r="V58" s="1164"/>
      <c r="W58" s="1164"/>
      <c r="X58" s="1640"/>
      <c r="Y58" s="1164"/>
      <c r="Z58" s="1164"/>
      <c r="AA58" s="548"/>
      <c r="AB58" s="1164"/>
      <c r="AC58" s="1164"/>
      <c r="AD58" s="1164"/>
      <c r="AE58" s="1164"/>
      <c r="AF58" s="1164"/>
      <c r="AG58" s="1636"/>
      <c r="AH58" s="570"/>
      <c r="AI58" s="570"/>
      <c r="AJ58" s="570"/>
      <c r="AK58" s="570"/>
      <c r="AL58" s="1645">
        <v>11</v>
      </c>
    </row>
    <row s="1645" customFormat="1" customHeight="1" ht="11.549999999999999">
      <c r="A59" s="991"/>
      <c r="B59" s="1640"/>
      <c r="C59" s="1640"/>
      <c r="D59" s="355"/>
      <c r="J59" s="1645"/>
      <c r="K59" s="1645"/>
      <c r="L59" s="1645"/>
      <c r="M59" s="1645"/>
      <c r="N59" s="1645"/>
      <c r="O59" s="1645"/>
      <c r="Q59" s="1164"/>
      <c r="R59" s="1640"/>
      <c r="S59" s="1640"/>
      <c r="T59" s="1164"/>
      <c r="U59" s="1164"/>
      <c r="V59" s="1164"/>
      <c r="W59" s="1164"/>
      <c r="X59" s="1640"/>
      <c r="Y59" s="1164"/>
      <c r="Z59" s="1164"/>
      <c r="AA59" s="548"/>
      <c r="AB59" s="1164"/>
      <c r="AC59" s="1164"/>
      <c r="AD59" s="1164"/>
      <c r="AE59" s="1164"/>
      <c r="AF59" s="1164"/>
      <c r="AG59" s="1636"/>
      <c r="AH59" s="570"/>
      <c r="AI59" s="570"/>
      <c r="AJ59" s="570"/>
      <c r="AK59" s="570"/>
      <c r="AL59" s="1645">
        <v>11</v>
      </c>
    </row>
    <row s="1645" customFormat="1" customHeight="1" ht="11.549999999999999">
      <c r="A60" s="991"/>
      <c r="B60" s="1640"/>
      <c r="C60" s="1640"/>
      <c r="D60" s="355"/>
      <c r="J60" s="1645"/>
      <c r="K60" s="1645"/>
      <c r="L60" s="1645"/>
      <c r="M60" s="1645"/>
      <c r="N60" s="1645"/>
      <c r="O60" s="1645"/>
      <c r="Q60" s="1164"/>
      <c r="R60" s="1640"/>
      <c r="S60" s="1640"/>
      <c r="T60" s="1164"/>
      <c r="U60" s="1164"/>
      <c r="V60" s="1164"/>
      <c r="W60" s="1164"/>
      <c r="X60" s="1640"/>
      <c r="Y60" s="1164"/>
      <c r="Z60" s="1164"/>
      <c r="AA60" s="548"/>
      <c r="AB60" s="1164"/>
      <c r="AC60" s="1164"/>
      <c r="AD60" s="1164"/>
      <c r="AE60" s="1164"/>
      <c r="AF60" s="1164"/>
      <c r="AG60" s="1636"/>
      <c r="AH60" s="570"/>
      <c r="AI60" s="570"/>
      <c r="AJ60" s="570"/>
      <c r="AK60" s="570"/>
      <c r="AL60" s="1645">
        <v>11</v>
      </c>
    </row>
    <row s="1645" customFormat="1" customHeight="1" ht="11.549999999999999">
      <c r="A61" s="991"/>
      <c r="B61" s="1640"/>
      <c r="C61" s="1640"/>
      <c r="D61" s="355"/>
      <c r="J61" s="1645"/>
      <c r="K61" s="1645"/>
      <c r="L61" s="1645"/>
      <c r="M61" s="1645"/>
      <c r="N61" s="1645"/>
      <c r="O61" s="1645"/>
      <c r="Q61" s="1164"/>
      <c r="R61" s="1640"/>
      <c r="S61" s="1640"/>
      <c r="T61" s="1164"/>
      <c r="U61" s="1164"/>
      <c r="V61" s="1164"/>
      <c r="W61" s="1164"/>
      <c r="X61" s="1640"/>
      <c r="Y61" s="1164"/>
      <c r="Z61" s="1164"/>
      <c r="AA61" s="548"/>
      <c r="AB61" s="1164"/>
      <c r="AC61" s="1164"/>
      <c r="AD61" s="1164"/>
      <c r="AE61" s="1164"/>
      <c r="AF61" s="1164"/>
      <c r="AG61" s="1636"/>
      <c r="AH61" s="570"/>
      <c r="AI61" s="570"/>
      <c r="AJ61" s="570"/>
      <c r="AK61" s="570"/>
      <c r="AL61" s="1645">
        <v>11</v>
      </c>
    </row>
    <row s="1645" customFormat="1" customHeight="1" ht="11.549999999999999">
      <c r="A62" s="991"/>
      <c r="B62" s="1640"/>
      <c r="C62" s="1640"/>
      <c r="D62" s="355"/>
      <c r="J62" s="1645"/>
      <c r="K62" s="1645"/>
      <c r="L62" s="1645"/>
      <c r="M62" s="1645"/>
      <c r="N62" s="1645"/>
      <c r="O62" s="1645"/>
      <c r="Q62" s="1164"/>
      <c r="R62" s="1640"/>
      <c r="S62" s="1640"/>
      <c r="T62" s="1164"/>
      <c r="U62" s="1164"/>
      <c r="V62" s="1164"/>
      <c r="W62" s="1164"/>
      <c r="X62" s="1640"/>
      <c r="Y62" s="1164"/>
      <c r="Z62" s="1164"/>
      <c r="AA62" s="548"/>
      <c r="AB62" s="1164"/>
      <c r="AC62" s="1164"/>
      <c r="AD62" s="1164"/>
      <c r="AE62" s="1164"/>
      <c r="AF62" s="1164"/>
      <c r="AG62" s="1636"/>
      <c r="AH62" s="570"/>
      <c r="AI62" s="570"/>
      <c r="AJ62" s="570"/>
      <c r="AK62" s="570"/>
      <c r="AL62" s="1645">
        <v>11</v>
      </c>
    </row>
    <row s="1645" customFormat="1" customHeight="1" ht="11.549999999999999">
      <c r="A63" s="991"/>
      <c r="B63" s="1640"/>
      <c r="C63" s="1640"/>
      <c r="D63" s="355"/>
      <c r="J63" s="1645"/>
      <c r="K63" s="1645"/>
      <c r="L63" s="1645"/>
      <c r="M63" s="1645"/>
      <c r="N63" s="1645"/>
      <c r="O63" s="1645"/>
      <c r="Q63" s="1164"/>
      <c r="R63" s="1640"/>
      <c r="S63" s="1640"/>
      <c r="T63" s="1164"/>
      <c r="U63" s="1164"/>
      <c r="V63" s="1164"/>
      <c r="W63" s="1164"/>
      <c r="X63" s="1640"/>
      <c r="Y63" s="1164"/>
      <c r="Z63" s="1164"/>
      <c r="AA63" s="548"/>
      <c r="AB63" s="1164"/>
      <c r="AC63" s="1164"/>
      <c r="AD63" s="1164"/>
      <c r="AE63" s="1164"/>
      <c r="AF63" s="1164"/>
      <c r="AG63" s="1636"/>
      <c r="AH63" s="570"/>
      <c r="AI63" s="570"/>
      <c r="AJ63" s="570"/>
      <c r="AK63" s="570"/>
      <c r="AL63" s="1645">
        <v>11</v>
      </c>
    </row>
    <row s="1645" customFormat="1" customHeight="1" ht="11.549999999999999">
      <c r="A64" s="991"/>
      <c r="B64" s="1640"/>
      <c r="C64" s="1640"/>
      <c r="D64" s="355"/>
      <c r="J64" s="1645"/>
      <c r="K64" s="1645"/>
      <c r="L64" s="1645"/>
      <c r="M64" s="1645"/>
      <c r="N64" s="1645"/>
      <c r="O64" s="1645"/>
      <c r="Q64" s="1164"/>
      <c r="R64" s="1640"/>
      <c r="S64" s="1640"/>
      <c r="T64" s="1164"/>
      <c r="U64" s="1164"/>
      <c r="V64" s="1164"/>
      <c r="W64" s="1164"/>
      <c r="X64" s="1640"/>
      <c r="Y64" s="1164"/>
      <c r="Z64" s="1164"/>
      <c r="AA64" s="548"/>
      <c r="AB64" s="1164"/>
      <c r="AC64" s="1164"/>
      <c r="AD64" s="1164"/>
      <c r="AE64" s="1164"/>
      <c r="AF64" s="1164"/>
      <c r="AG64" s="1636"/>
      <c r="AH64" s="570"/>
      <c r="AI64" s="570"/>
      <c r="AJ64" s="570"/>
      <c r="AK64" s="570"/>
      <c r="AL64" s="1645">
        <v>11</v>
      </c>
    </row>
    <row s="1645" customFormat="1" customHeight="1" ht="11.549999999999999">
      <c r="A65" s="991"/>
      <c r="B65" s="1640"/>
      <c r="C65" s="1640"/>
      <c r="D65" s="355"/>
      <c r="J65" s="1645"/>
      <c r="K65" s="1645"/>
      <c r="L65" s="1645"/>
      <c r="M65" s="1645"/>
      <c r="N65" s="1645"/>
      <c r="O65" s="1645"/>
      <c r="Q65" s="1164"/>
      <c r="R65" s="1640"/>
      <c r="S65" s="1640"/>
      <c r="T65" s="1164"/>
      <c r="U65" s="1164"/>
      <c r="V65" s="1164"/>
      <c r="W65" s="1164"/>
      <c r="X65" s="1640"/>
      <c r="Y65" s="1164"/>
      <c r="Z65" s="1164"/>
      <c r="AA65" s="548"/>
      <c r="AB65" s="1164"/>
      <c r="AC65" s="1164"/>
      <c r="AD65" s="1164"/>
      <c r="AE65" s="1164"/>
      <c r="AF65" s="1164"/>
      <c r="AG65" s="1636"/>
      <c r="AH65" s="570"/>
      <c r="AI65" s="570"/>
      <c r="AJ65" s="570"/>
      <c r="AK65" s="570"/>
      <c r="AL65" s="1645">
        <v>11</v>
      </c>
    </row>
    <row s="1645" customFormat="1" customHeight="1" ht="11.549999999999999">
      <c r="A66" s="991"/>
      <c r="B66" s="1640"/>
      <c r="C66" s="1640"/>
      <c r="D66" s="355"/>
      <c r="J66" s="1645"/>
      <c r="K66" s="1645"/>
      <c r="L66" s="1645"/>
      <c r="M66" s="1645"/>
      <c r="N66" s="1645"/>
      <c r="O66" s="1645"/>
      <c r="Q66" s="1164"/>
      <c r="R66" s="1640"/>
      <c r="S66" s="1640"/>
      <c r="T66" s="1164"/>
      <c r="U66" s="1164"/>
      <c r="V66" s="1164"/>
      <c r="W66" s="1164"/>
      <c r="X66" s="1640"/>
      <c r="Y66" s="1164"/>
      <c r="Z66" s="1164"/>
      <c r="AA66" s="548"/>
      <c r="AB66" s="1164"/>
      <c r="AC66" s="1164"/>
      <c r="AD66" s="1164"/>
      <c r="AE66" s="1164"/>
      <c r="AF66" s="1164"/>
      <c r="AG66" s="1636"/>
      <c r="AH66" s="570"/>
      <c r="AI66" s="570"/>
      <c r="AJ66" s="570"/>
      <c r="AK66" s="570"/>
      <c r="AL66" s="1645">
        <v>11</v>
      </c>
    </row>
    <row s="1645" customFormat="1" customHeight="1" ht="11.549999999999999">
      <c r="A67" s="991"/>
      <c r="B67" s="1640"/>
      <c r="C67" s="1640"/>
      <c r="D67" s="355"/>
      <c r="J67" s="1645"/>
      <c r="K67" s="1645"/>
      <c r="L67" s="1645"/>
      <c r="M67" s="1645"/>
      <c r="N67" s="1645"/>
      <c r="O67" s="1645"/>
      <c r="Q67" s="1164"/>
      <c r="R67" s="1640"/>
      <c r="S67" s="1640"/>
      <c r="T67" s="1164"/>
      <c r="U67" s="1164"/>
      <c r="V67" s="1164"/>
      <c r="W67" s="1164"/>
      <c r="X67" s="1640"/>
      <c r="Y67" s="1164"/>
      <c r="Z67" s="1164"/>
      <c r="AA67" s="548"/>
      <c r="AB67" s="1164"/>
      <c r="AC67" s="1164"/>
      <c r="AD67" s="1164"/>
      <c r="AE67" s="1164"/>
      <c r="AF67" s="1164"/>
      <c r="AG67" s="1636"/>
      <c r="AH67" s="570"/>
      <c r="AI67" s="570"/>
      <c r="AJ67" s="570"/>
      <c r="AK67" s="570"/>
      <c r="AL67" s="1645">
        <v>11</v>
      </c>
    </row>
    <row s="1645" customFormat="1" customHeight="1" ht="11.549999999999999">
      <c r="A68" s="991"/>
      <c r="B68" s="1640"/>
      <c r="C68" s="1640"/>
      <c r="D68" s="355"/>
      <c r="J68" s="1645"/>
      <c r="K68" s="1645"/>
      <c r="L68" s="1645"/>
      <c r="M68" s="1645"/>
      <c r="N68" s="1645"/>
      <c r="O68" s="1645"/>
      <c r="Q68" s="1164"/>
      <c r="R68" s="1640"/>
      <c r="S68" s="1640"/>
      <c r="T68" s="1164"/>
      <c r="U68" s="1164"/>
      <c r="V68" s="1164"/>
      <c r="W68" s="1164"/>
      <c r="X68" s="1640"/>
      <c r="Y68" s="1164"/>
      <c r="Z68" s="1164"/>
      <c r="AA68" s="548"/>
      <c r="AB68" s="1164"/>
      <c r="AC68" s="1164"/>
      <c r="AD68" s="1164"/>
      <c r="AE68" s="1164"/>
      <c r="AF68" s="1164"/>
      <c r="AG68" s="1636"/>
      <c r="AH68" s="570"/>
      <c r="AI68" s="570"/>
      <c r="AJ68" s="570"/>
      <c r="AK68" s="570"/>
      <c r="AL68" s="1645">
        <v>11</v>
      </c>
    </row>
    <row s="1645" customFormat="1" customHeight="1" ht="11.549999999999999">
      <c r="A69" s="991"/>
      <c r="B69" s="1640"/>
      <c r="C69" s="1640"/>
      <c r="D69" s="355"/>
      <c r="J69" s="1645"/>
      <c r="K69" s="1645"/>
      <c r="L69" s="1645"/>
      <c r="M69" s="1645"/>
      <c r="N69" s="1645"/>
      <c r="O69" s="1645"/>
      <c r="Q69" s="1164"/>
      <c r="R69" s="1640"/>
      <c r="S69" s="1640"/>
      <c r="T69" s="1164"/>
      <c r="U69" s="1164"/>
      <c r="V69" s="1164"/>
      <c r="W69" s="1164"/>
      <c r="X69" s="1640"/>
      <c r="Y69" s="1164"/>
      <c r="Z69" s="1164"/>
      <c r="AA69" s="548"/>
      <c r="AB69" s="1164"/>
      <c r="AC69" s="1164"/>
      <c r="AD69" s="1164"/>
      <c r="AE69" s="1164"/>
      <c r="AF69" s="1164"/>
      <c r="AG69" s="1636"/>
      <c r="AH69" s="570"/>
      <c r="AI69" s="570"/>
      <c r="AJ69" s="570"/>
      <c r="AK69" s="570"/>
      <c r="AL69" s="1645">
        <v>11</v>
      </c>
    </row>
    <row s="1645" customFormat="1" customHeight="1" ht="11.549999999999999">
      <c r="A70" s="991"/>
      <c r="B70" s="1640"/>
      <c r="C70" s="1640"/>
      <c r="D70" s="355"/>
      <c r="J70" s="1645"/>
      <c r="K70" s="1645"/>
      <c r="L70" s="1645"/>
      <c r="M70" s="1645"/>
      <c r="N70" s="1645"/>
      <c r="O70" s="1645"/>
      <c r="Q70" s="1164"/>
      <c r="R70" s="1640"/>
      <c r="S70" s="1640"/>
      <c r="T70" s="1164"/>
      <c r="U70" s="1164"/>
      <c r="V70" s="1164"/>
      <c r="W70" s="1164"/>
      <c r="X70" s="1640"/>
      <c r="Y70" s="1164"/>
      <c r="Z70" s="1164"/>
      <c r="AA70" s="548"/>
      <c r="AB70" s="1164"/>
      <c r="AC70" s="1164"/>
      <c r="AD70" s="1164"/>
      <c r="AE70" s="1164"/>
      <c r="AF70" s="1164"/>
      <c r="AG70" s="1636"/>
      <c r="AH70" s="570"/>
      <c r="AI70" s="570"/>
      <c r="AJ70" s="570"/>
      <c r="AK70" s="570"/>
      <c r="AL70" s="1645">
        <v>11</v>
      </c>
    </row>
    <row s="1645" customFormat="1" customHeight="1" ht="11.549999999999999">
      <c r="A71" s="991"/>
      <c r="B71" s="1640"/>
      <c r="C71" s="1640"/>
      <c r="D71" s="355"/>
      <c r="J71" s="1645"/>
      <c r="K71" s="1645"/>
      <c r="L71" s="1645"/>
      <c r="M71" s="1645"/>
      <c r="N71" s="1645"/>
      <c r="O71" s="1645"/>
      <c r="Q71" s="1164"/>
      <c r="R71" s="1640"/>
      <c r="S71" s="1640"/>
      <c r="T71" s="1164"/>
      <c r="U71" s="1164"/>
      <c r="V71" s="1164"/>
      <c r="W71" s="1164"/>
      <c r="X71" s="1640"/>
      <c r="Y71" s="1164"/>
      <c r="Z71" s="1164"/>
      <c r="AA71" s="548"/>
      <c r="AB71" s="1164"/>
      <c r="AC71" s="1164"/>
      <c r="AD71" s="1164"/>
      <c r="AE71" s="1164"/>
      <c r="AF71" s="1164"/>
      <c r="AG71" s="1636"/>
      <c r="AH71" s="570"/>
      <c r="AI71" s="570"/>
      <c r="AJ71" s="570"/>
      <c r="AK71" s="570"/>
      <c r="AL71" s="1645">
        <v>11</v>
      </c>
    </row>
    <row s="1645" customFormat="1" customHeight="1" ht="11.549999999999999">
      <c r="A72" s="991"/>
      <c r="B72" s="1640"/>
      <c r="C72" s="1640"/>
      <c r="D72" s="355"/>
      <c r="J72" s="1645"/>
      <c r="K72" s="1645"/>
      <c r="L72" s="1645"/>
      <c r="M72" s="1645"/>
      <c r="N72" s="1645"/>
      <c r="O72" s="1645"/>
      <c r="Q72" s="1164"/>
      <c r="R72" s="1640"/>
      <c r="S72" s="1640"/>
      <c r="T72" s="1164"/>
      <c r="U72" s="1164"/>
      <c r="V72" s="1164"/>
      <c r="W72" s="1164"/>
      <c r="X72" s="1640"/>
      <c r="Y72" s="1164"/>
      <c r="Z72" s="1164"/>
      <c r="AA72" s="548"/>
      <c r="AB72" s="1164"/>
      <c r="AC72" s="1164"/>
      <c r="AD72" s="1164"/>
      <c r="AE72" s="1164"/>
      <c r="AF72" s="1164"/>
      <c r="AG72" s="1636"/>
      <c r="AH72" s="570"/>
      <c r="AI72" s="570"/>
      <c r="AJ72" s="570"/>
      <c r="AK72" s="570"/>
      <c r="AL72" s="1645">
        <v>11</v>
      </c>
    </row>
    <row s="1645" customFormat="1" customHeight="1" ht="11.549999999999999">
      <c r="A73" s="991"/>
      <c r="B73" s="1640"/>
      <c r="C73" s="1640"/>
      <c r="D73" s="355"/>
      <c r="J73" s="1645"/>
      <c r="K73" s="1645"/>
      <c r="L73" s="1645"/>
      <c r="M73" s="1645"/>
      <c r="N73" s="1645"/>
      <c r="O73" s="1645"/>
      <c r="Q73" s="1164"/>
      <c r="R73" s="1640"/>
      <c r="S73" s="1640"/>
      <c r="T73" s="1164"/>
      <c r="U73" s="1164"/>
      <c r="V73" s="1164"/>
      <c r="W73" s="1164"/>
      <c r="X73" s="1640"/>
      <c r="Y73" s="1164"/>
      <c r="Z73" s="1164"/>
      <c r="AA73" s="548"/>
      <c r="AB73" s="1164"/>
      <c r="AC73" s="1164"/>
      <c r="AD73" s="1164"/>
      <c r="AE73" s="1164"/>
      <c r="AF73" s="1164"/>
      <c r="AG73" s="1636"/>
      <c r="AH73" s="570"/>
      <c r="AI73" s="570"/>
      <c r="AJ73" s="570"/>
      <c r="AK73" s="570"/>
      <c r="AL73" s="1645">
        <v>11</v>
      </c>
    </row>
    <row s="1645" customFormat="1" customHeight="1" ht="11.549999999999999">
      <c r="A74" s="991"/>
      <c r="B74" s="1640"/>
      <c r="C74" s="1640"/>
      <c r="D74" s="355"/>
      <c r="J74" s="1645"/>
      <c r="K74" s="1645"/>
      <c r="L74" s="1645"/>
      <c r="M74" s="1645"/>
      <c r="N74" s="1645"/>
      <c r="O74" s="1645"/>
      <c r="Q74" s="1164"/>
      <c r="R74" s="1640"/>
      <c r="S74" s="1640"/>
      <c r="T74" s="1164"/>
      <c r="U74" s="1164"/>
      <c r="V74" s="1164"/>
      <c r="W74" s="1164"/>
      <c r="X74" s="1640"/>
      <c r="Y74" s="1164"/>
      <c r="Z74" s="1164"/>
      <c r="AA74" s="548"/>
      <c r="AB74" s="1164"/>
      <c r="AC74" s="1164"/>
      <c r="AD74" s="1164"/>
      <c r="AE74" s="1164"/>
      <c r="AF74" s="1164"/>
      <c r="AG74" s="1636"/>
      <c r="AH74" s="570"/>
      <c r="AI74" s="570"/>
      <c r="AJ74" s="570"/>
      <c r="AK74" s="570"/>
      <c r="AL74" s="1645">
        <v>11</v>
      </c>
    </row>
    <row s="1645" customFormat="1" customHeight="1" ht="11.549999999999999">
      <c r="A75" s="991"/>
      <c r="B75" s="1640"/>
      <c r="C75" s="1640"/>
      <c r="D75" s="355"/>
      <c r="J75" s="1645"/>
      <c r="K75" s="1645"/>
      <c r="L75" s="1645"/>
      <c r="M75" s="1645"/>
      <c r="N75" s="1645"/>
      <c r="O75" s="1645"/>
      <c r="Q75" s="1164"/>
      <c r="R75" s="1640"/>
      <c r="S75" s="1640"/>
      <c r="T75" s="1164"/>
      <c r="U75" s="1164"/>
      <c r="V75" s="1164"/>
      <c r="W75" s="1164"/>
      <c r="X75" s="1640"/>
      <c r="Y75" s="1164"/>
      <c r="Z75" s="1164"/>
      <c r="AA75" s="548"/>
      <c r="AB75" s="1164"/>
      <c r="AC75" s="1164"/>
      <c r="AD75" s="1164"/>
      <c r="AE75" s="1164"/>
      <c r="AF75" s="1164"/>
      <c r="AG75" s="1636"/>
      <c r="AH75" s="570"/>
      <c r="AI75" s="570"/>
      <c r="AJ75" s="570"/>
      <c r="AK75" s="570"/>
      <c r="AL75" s="1645">
        <v>11</v>
      </c>
    </row>
    <row s="1645" customFormat="1" customHeight="1" ht="11.549999999999999">
      <c r="A76" s="991"/>
      <c r="B76" s="1640"/>
      <c r="C76" s="1640"/>
      <c r="D76" s="355"/>
      <c r="J76" s="1645"/>
      <c r="K76" s="1645"/>
      <c r="L76" s="1645"/>
      <c r="M76" s="1645"/>
      <c r="N76" s="1645"/>
      <c r="O76" s="1645"/>
      <c r="Q76" s="1164"/>
      <c r="R76" s="1640"/>
      <c r="S76" s="1640"/>
      <c r="T76" s="1164"/>
      <c r="U76" s="1164"/>
      <c r="V76" s="1164"/>
      <c r="W76" s="1164"/>
      <c r="X76" s="1640"/>
      <c r="Y76" s="1164"/>
      <c r="Z76" s="1164"/>
      <c r="AA76" s="548"/>
      <c r="AB76" s="1164"/>
      <c r="AC76" s="1164"/>
      <c r="AD76" s="1164"/>
      <c r="AE76" s="1164"/>
      <c r="AF76" s="1164"/>
      <c r="AG76" s="1636"/>
      <c r="AH76" s="570"/>
      <c r="AI76" s="570"/>
      <c r="AJ76" s="570"/>
      <c r="AK76" s="570"/>
      <c r="AL76" s="1645">
        <v>11</v>
      </c>
    </row>
    <row s="1645" customFormat="1" customHeight="1" ht="11.549999999999999">
      <c r="A77" s="991"/>
      <c r="B77" s="1640"/>
      <c r="C77" s="1640"/>
      <c r="D77" s="355"/>
      <c r="J77" s="1645"/>
      <c r="K77" s="1645"/>
      <c r="L77" s="1645"/>
      <c r="M77" s="1645"/>
      <c r="N77" s="1645"/>
      <c r="O77" s="1645"/>
      <c r="Q77" s="1164"/>
      <c r="R77" s="1640"/>
      <c r="S77" s="1640"/>
      <c r="T77" s="1164"/>
      <c r="U77" s="1164"/>
      <c r="V77" s="1164"/>
      <c r="W77" s="1164"/>
      <c r="X77" s="1640"/>
      <c r="Y77" s="1164"/>
      <c r="Z77" s="1164"/>
      <c r="AA77" s="548"/>
      <c r="AB77" s="1164"/>
      <c r="AC77" s="1164"/>
      <c r="AD77" s="1164"/>
      <c r="AE77" s="1164"/>
      <c r="AF77" s="1164"/>
      <c r="AG77" s="1636"/>
      <c r="AH77" s="570"/>
      <c r="AI77" s="570"/>
      <c r="AJ77" s="570"/>
      <c r="AK77" s="570"/>
      <c r="AL77" s="1645">
        <v>11</v>
      </c>
    </row>
    <row s="1645" customFormat="1" customHeight="1" ht="11.549999999999999">
      <c r="A78" s="991"/>
      <c r="B78" s="1640"/>
      <c r="C78" s="1640"/>
      <c r="D78" s="355"/>
      <c r="J78" s="1645"/>
      <c r="K78" s="1645"/>
      <c r="L78" s="1645"/>
      <c r="M78" s="1645"/>
      <c r="N78" s="1645"/>
      <c r="O78" s="1645"/>
      <c r="Q78" s="1164"/>
      <c r="R78" s="1640"/>
      <c r="S78" s="1640"/>
      <c r="T78" s="1164"/>
      <c r="U78" s="1164"/>
      <c r="V78" s="1164"/>
      <c r="W78" s="1164"/>
      <c r="X78" s="1640"/>
      <c r="Y78" s="1164"/>
      <c r="Z78" s="1164"/>
      <c r="AA78" s="548"/>
      <c r="AB78" s="1164"/>
      <c r="AC78" s="1164"/>
      <c r="AD78" s="1164"/>
      <c r="AE78" s="1164"/>
      <c r="AF78" s="1164"/>
      <c r="AG78" s="1636"/>
      <c r="AH78" s="570"/>
      <c r="AI78" s="570"/>
      <c r="AJ78" s="570"/>
      <c r="AK78" s="570"/>
      <c r="AL78" s="1645">
        <v>11</v>
      </c>
    </row>
    <row s="1645" customFormat="1" customHeight="1" ht="11.549999999999999">
      <c r="A79" s="991"/>
      <c r="B79" s="1640"/>
      <c r="C79" s="1640"/>
      <c r="D79" s="355"/>
      <c r="J79" s="1645"/>
      <c r="K79" s="1645"/>
      <c r="L79" s="1645"/>
      <c r="M79" s="1645"/>
      <c r="N79" s="1645"/>
      <c r="O79" s="1645"/>
      <c r="Q79" s="1164"/>
      <c r="R79" s="1640"/>
      <c r="S79" s="1640"/>
      <c r="T79" s="1164"/>
      <c r="U79" s="1164"/>
      <c r="V79" s="1164"/>
      <c r="W79" s="1164"/>
      <c r="X79" s="1640"/>
      <c r="Y79" s="1164"/>
      <c r="Z79" s="1164"/>
      <c r="AA79" s="548"/>
      <c r="AB79" s="1164"/>
      <c r="AC79" s="1164"/>
      <c r="AD79" s="1164"/>
      <c r="AE79" s="1164"/>
      <c r="AF79" s="1164"/>
      <c r="AG79" s="1636"/>
      <c r="AH79" s="570"/>
      <c r="AI79" s="570"/>
      <c r="AJ79" s="570"/>
      <c r="AK79" s="570"/>
      <c r="AL79" s="1645">
        <v>11</v>
      </c>
    </row>
    <row s="1645" customFormat="1" customHeight="1" ht="11.549999999999999">
      <c r="A80" s="991"/>
      <c r="B80" s="1640"/>
      <c r="C80" s="1640"/>
      <c r="D80" s="355"/>
      <c r="J80" s="1645"/>
      <c r="K80" s="1645"/>
      <c r="L80" s="1645"/>
      <c r="M80" s="1645"/>
      <c r="N80" s="1645"/>
      <c r="O80" s="1645"/>
      <c r="Q80" s="1164"/>
      <c r="R80" s="1640"/>
      <c r="S80" s="1640"/>
      <c r="T80" s="1164"/>
      <c r="U80" s="1164"/>
      <c r="V80" s="1164"/>
      <c r="W80" s="1164"/>
      <c r="X80" s="1640"/>
      <c r="Y80" s="1164"/>
      <c r="Z80" s="1164"/>
      <c r="AA80" s="548"/>
      <c r="AB80" s="1164"/>
      <c r="AC80" s="1164"/>
      <c r="AD80" s="1164"/>
      <c r="AE80" s="1164"/>
      <c r="AF80" s="1164"/>
      <c r="AG80" s="1636"/>
      <c r="AH80" s="570"/>
      <c r="AI80" s="570"/>
      <c r="AJ80" s="570"/>
      <c r="AK80" s="570"/>
      <c r="AL80" s="1645">
        <v>11</v>
      </c>
    </row>
    <row s="1645" customFormat="1" customHeight="1" ht="11.549999999999999">
      <c r="A81" s="991"/>
      <c r="B81" s="1640"/>
      <c r="C81" s="1640"/>
      <c r="D81" s="355"/>
      <c r="J81" s="1645"/>
      <c r="K81" s="1645"/>
      <c r="L81" s="1645"/>
      <c r="M81" s="1645"/>
      <c r="N81" s="1645"/>
      <c r="O81" s="1645"/>
      <c r="Q81" s="1164"/>
      <c r="R81" s="1640"/>
      <c r="S81" s="1640"/>
      <c r="T81" s="1164"/>
      <c r="U81" s="1164"/>
      <c r="V81" s="1164"/>
      <c r="W81" s="1164"/>
      <c r="X81" s="1640"/>
      <c r="Y81" s="1164"/>
      <c r="Z81" s="1164"/>
      <c r="AA81" s="548"/>
      <c r="AB81" s="1164"/>
      <c r="AC81" s="1164"/>
      <c r="AD81" s="1164"/>
      <c r="AE81" s="1164"/>
      <c r="AF81" s="1164"/>
      <c r="AG81" s="1636"/>
      <c r="AH81" s="570"/>
      <c r="AI81" s="570"/>
      <c r="AJ81" s="570"/>
      <c r="AK81" s="570"/>
      <c r="AL81" s="1645">
        <v>11</v>
      </c>
    </row>
    <row s="1645" customFormat="1" customHeight="1" ht="11.549999999999999">
      <c r="A82" s="991"/>
      <c r="B82" s="1640"/>
      <c r="C82" s="1640"/>
      <c r="D82" s="355"/>
      <c r="J82" s="1645"/>
      <c r="K82" s="1645"/>
      <c r="L82" s="1645"/>
      <c r="M82" s="1645"/>
      <c r="N82" s="1645"/>
      <c r="O82" s="1645"/>
      <c r="Q82" s="1164"/>
      <c r="R82" s="1640"/>
      <c r="S82" s="1640"/>
      <c r="T82" s="1164"/>
      <c r="U82" s="1164"/>
      <c r="V82" s="1164"/>
      <c r="W82" s="1164"/>
      <c r="X82" s="1640"/>
      <c r="Y82" s="1164"/>
      <c r="Z82" s="1164"/>
      <c r="AA82" s="548"/>
      <c r="AB82" s="1164"/>
      <c r="AC82" s="1164"/>
      <c r="AD82" s="1164"/>
      <c r="AE82" s="1164"/>
      <c r="AF82" s="1164"/>
      <c r="AG82" s="1636"/>
      <c r="AH82" s="570"/>
      <c r="AI82" s="570"/>
      <c r="AJ82" s="570"/>
      <c r="AK82" s="570"/>
      <c r="AL82" s="1645">
        <v>11</v>
      </c>
    </row>
    <row s="1645" customFormat="1" customHeight="1" ht="11.549999999999999">
      <c r="A83" s="991"/>
      <c r="B83" s="1640"/>
      <c r="C83" s="1640"/>
      <c r="D83" s="355"/>
      <c r="J83" s="1645"/>
      <c r="K83" s="1645"/>
      <c r="L83" s="1645"/>
      <c r="M83" s="1645"/>
      <c r="N83" s="1645"/>
      <c r="O83" s="1645"/>
      <c r="Q83" s="1164"/>
      <c r="R83" s="1640"/>
      <c r="S83" s="1640"/>
      <c r="T83" s="1164"/>
      <c r="U83" s="1164"/>
      <c r="V83" s="1164"/>
      <c r="W83" s="1164"/>
      <c r="X83" s="1640"/>
      <c r="Y83" s="1164"/>
      <c r="Z83" s="1164"/>
      <c r="AA83" s="548"/>
      <c r="AB83" s="1164"/>
      <c r="AC83" s="1164"/>
      <c r="AD83" s="1164"/>
      <c r="AE83" s="1164"/>
      <c r="AF83" s="1164"/>
      <c r="AG83" s="1636"/>
      <c r="AH83" s="570"/>
      <c r="AI83" s="570"/>
      <c r="AJ83" s="570"/>
      <c r="AK83" s="570"/>
      <c r="AL83" s="1645">
        <v>11</v>
      </c>
    </row>
    <row s="1645" customFormat="1" customHeight="1" ht="11.549999999999999">
      <c r="A84" s="991"/>
      <c r="B84" s="1640"/>
      <c r="C84" s="1640"/>
      <c r="D84" s="355"/>
      <c r="J84" s="1645"/>
      <c r="K84" s="1645"/>
      <c r="L84" s="1645"/>
      <c r="M84" s="1645"/>
      <c r="N84" s="1645"/>
      <c r="O84" s="1645"/>
      <c r="Q84" s="1164"/>
      <c r="R84" s="1640"/>
      <c r="S84" s="1640"/>
      <c r="T84" s="1164"/>
      <c r="U84" s="1164"/>
      <c r="V84" s="1164"/>
      <c r="W84" s="1164"/>
      <c r="X84" s="1640"/>
      <c r="Y84" s="1164"/>
      <c r="Z84" s="1164"/>
      <c r="AA84" s="548"/>
      <c r="AB84" s="1164"/>
      <c r="AC84" s="1164"/>
      <c r="AD84" s="1164"/>
      <c r="AE84" s="1164"/>
      <c r="AF84" s="1164"/>
      <c r="AG84" s="1636"/>
      <c r="AH84" s="570"/>
      <c r="AI84" s="570"/>
      <c r="AJ84" s="570"/>
      <c r="AK84" s="570"/>
      <c r="AL84" s="1645">
        <v>11</v>
      </c>
    </row>
    <row s="1645" customFormat="1" customHeight="1" ht="11.549999999999999">
      <c r="A85" s="991"/>
      <c r="B85" s="1640"/>
      <c r="C85" s="1640"/>
      <c r="D85" s="355"/>
      <c r="J85" s="1645"/>
      <c r="K85" s="1645"/>
      <c r="L85" s="1645"/>
      <c r="M85" s="1645"/>
      <c r="N85" s="1645"/>
      <c r="O85" s="1645"/>
      <c r="Q85" s="1164"/>
      <c r="R85" s="1640"/>
      <c r="S85" s="1640"/>
      <c r="T85" s="1164"/>
      <c r="U85" s="1164"/>
      <c r="V85" s="1164"/>
      <c r="W85" s="1164"/>
      <c r="X85" s="1640"/>
      <c r="Y85" s="1164"/>
      <c r="Z85" s="1164"/>
      <c r="AA85" s="548"/>
      <c r="AB85" s="1164"/>
      <c r="AC85" s="1164"/>
      <c r="AD85" s="1164"/>
      <c r="AE85" s="1164"/>
      <c r="AF85" s="1164"/>
      <c r="AG85" s="1636"/>
      <c r="AH85" s="570"/>
      <c r="AI85" s="570"/>
      <c r="AJ85" s="570"/>
      <c r="AK85" s="570"/>
      <c r="AL85" s="1645">
        <v>11</v>
      </c>
    </row>
    <row s="1645" customFormat="1" customHeight="1" ht="11.549999999999999">
      <c r="A86" s="991"/>
      <c r="B86" s="1640"/>
      <c r="C86" s="1640"/>
      <c r="D86" s="355"/>
      <c r="J86" s="1645"/>
      <c r="K86" s="1645"/>
      <c r="L86" s="1645"/>
      <c r="M86" s="1645"/>
      <c r="N86" s="1645"/>
      <c r="O86" s="1645"/>
      <c r="Q86" s="1164"/>
      <c r="R86" s="1640"/>
      <c r="S86" s="1640"/>
      <c r="T86" s="1164"/>
      <c r="U86" s="1164"/>
      <c r="V86" s="1164"/>
      <c r="W86" s="1164"/>
      <c r="X86" s="1640"/>
      <c r="Y86" s="1164"/>
      <c r="Z86" s="1164"/>
      <c r="AA86" s="548"/>
      <c r="AB86" s="1164"/>
      <c r="AC86" s="1164"/>
      <c r="AD86" s="1164"/>
      <c r="AE86" s="1164"/>
      <c r="AF86" s="1164"/>
      <c r="AG86" s="1636"/>
      <c r="AH86" s="570"/>
      <c r="AI86" s="570"/>
      <c r="AJ86" s="570"/>
      <c r="AK86" s="570"/>
      <c r="AL86" s="1645">
        <v>11</v>
      </c>
    </row>
    <row s="1645" customFormat="1" customHeight="1" ht="11.549999999999999">
      <c r="A87" s="991"/>
      <c r="B87" s="1640"/>
      <c r="C87" s="1640"/>
      <c r="D87" s="355"/>
      <c r="J87" s="1645"/>
      <c r="K87" s="1645"/>
      <c r="L87" s="1645"/>
      <c r="M87" s="1645"/>
      <c r="N87" s="1645"/>
      <c r="O87" s="1645"/>
      <c r="Q87" s="1164"/>
      <c r="R87" s="1640"/>
      <c r="S87" s="1640"/>
      <c r="T87" s="1164"/>
      <c r="U87" s="1164"/>
      <c r="V87" s="1164"/>
      <c r="W87" s="1164"/>
      <c r="X87" s="1640"/>
      <c r="Y87" s="1164"/>
      <c r="Z87" s="1164"/>
      <c r="AA87" s="548"/>
      <c r="AB87" s="1164"/>
      <c r="AC87" s="1164"/>
      <c r="AD87" s="1164"/>
      <c r="AE87" s="1164"/>
      <c r="AF87" s="1164"/>
      <c r="AG87" s="1636"/>
      <c r="AH87" s="570"/>
      <c r="AI87" s="570"/>
      <c r="AJ87" s="570"/>
      <c r="AK87" s="570"/>
      <c r="AL87" s="1645">
        <v>11</v>
      </c>
    </row>
    <row s="1645" customFormat="1" customHeight="1" ht="11.549999999999999">
      <c r="A88" s="991"/>
      <c r="B88" s="1640"/>
      <c r="C88" s="1640"/>
      <c r="D88" s="355"/>
      <c r="J88" s="1645"/>
      <c r="K88" s="1645"/>
      <c r="L88" s="1645"/>
      <c r="M88" s="1645"/>
      <c r="N88" s="1645"/>
      <c r="O88" s="1645"/>
      <c r="Q88" s="1164"/>
      <c r="R88" s="1640"/>
      <c r="S88" s="1640"/>
      <c r="T88" s="1164"/>
      <c r="U88" s="1164"/>
      <c r="V88" s="1164"/>
      <c r="W88" s="1164"/>
      <c r="X88" s="1640"/>
      <c r="Y88" s="1164"/>
      <c r="Z88" s="1164"/>
      <c r="AA88" s="548"/>
      <c r="AB88" s="1164"/>
      <c r="AC88" s="1164"/>
      <c r="AD88" s="1164"/>
      <c r="AE88" s="1164"/>
      <c r="AF88" s="1164"/>
      <c r="AG88" s="1636"/>
      <c r="AH88" s="570"/>
      <c r="AI88" s="570"/>
      <c r="AJ88" s="570"/>
      <c r="AK88" s="570"/>
      <c r="AL88" s="1645">
        <v>11</v>
      </c>
    </row>
    <row s="1645" customFormat="1" customHeight="1" ht="11.549999999999999">
      <c r="A89" s="991"/>
      <c r="B89" s="1640"/>
      <c r="C89" s="1640"/>
      <c r="D89" s="355"/>
      <c r="J89" s="1645"/>
      <c r="K89" s="1645"/>
      <c r="L89" s="1645"/>
      <c r="M89" s="1645"/>
      <c r="N89" s="1645"/>
      <c r="O89" s="1645"/>
      <c r="Q89" s="1164"/>
      <c r="R89" s="1640"/>
      <c r="S89" s="1640"/>
      <c r="T89" s="1164"/>
      <c r="U89" s="1164"/>
      <c r="V89" s="1164"/>
      <c r="W89" s="1164"/>
      <c r="X89" s="1640"/>
      <c r="Y89" s="1164"/>
      <c r="Z89" s="1164"/>
      <c r="AA89" s="548"/>
      <c r="AB89" s="1164"/>
      <c r="AC89" s="1164"/>
      <c r="AD89" s="1164"/>
      <c r="AE89" s="1164"/>
      <c r="AF89" s="1164"/>
      <c r="AG89" s="1636"/>
      <c r="AH89" s="570"/>
      <c r="AI89" s="570"/>
      <c r="AJ89" s="570"/>
      <c r="AK89" s="570"/>
      <c r="AL89" s="1645">
        <v>11</v>
      </c>
    </row>
    <row s="1645" customFormat="1" customHeight="1" ht="11.549999999999999">
      <c r="A90" s="991"/>
      <c r="B90" s="1640"/>
      <c r="C90" s="1640"/>
      <c r="D90" s="355"/>
      <c r="J90" s="1645"/>
      <c r="K90" s="1645"/>
      <c r="L90" s="1645"/>
      <c r="M90" s="1645"/>
      <c r="N90" s="1645"/>
      <c r="O90" s="1645"/>
      <c r="Q90" s="1164"/>
      <c r="R90" s="1640"/>
      <c r="S90" s="1640"/>
      <c r="T90" s="1164"/>
      <c r="U90" s="1164"/>
      <c r="V90" s="1164"/>
      <c r="W90" s="1164"/>
      <c r="X90" s="1640"/>
      <c r="Y90" s="1164"/>
      <c r="Z90" s="1164"/>
      <c r="AA90" s="548"/>
      <c r="AB90" s="1164"/>
      <c r="AC90" s="1164"/>
      <c r="AD90" s="1164"/>
      <c r="AE90" s="1164"/>
      <c r="AF90" s="1164"/>
      <c r="AG90" s="1636"/>
      <c r="AH90" s="570"/>
      <c r="AI90" s="570"/>
      <c r="AJ90" s="570"/>
      <c r="AK90" s="570"/>
      <c r="AL90" s="1645">
        <v>11</v>
      </c>
    </row>
    <row s="1645" customFormat="1" customHeight="1" ht="11.549999999999999">
      <c r="A91" s="991"/>
      <c r="B91" s="1640"/>
      <c r="C91" s="1640"/>
      <c r="D91" s="355"/>
      <c r="J91" s="1645"/>
      <c r="K91" s="1645"/>
      <c r="L91" s="1645"/>
      <c r="M91" s="1645"/>
      <c r="N91" s="1645"/>
      <c r="O91" s="1645"/>
      <c r="Q91" s="1164"/>
      <c r="R91" s="1640"/>
      <c r="S91" s="1640"/>
      <c r="T91" s="1164"/>
      <c r="U91" s="1164"/>
      <c r="V91" s="1164"/>
      <c r="W91" s="1164"/>
      <c r="X91" s="1640"/>
      <c r="Y91" s="1164"/>
      <c r="Z91" s="1164"/>
      <c r="AA91" s="548"/>
      <c r="AB91" s="1164"/>
      <c r="AC91" s="1164"/>
      <c r="AD91" s="1164"/>
      <c r="AE91" s="1164"/>
      <c r="AF91" s="1164"/>
      <c r="AG91" s="1636"/>
      <c r="AH91" s="570"/>
      <c r="AI91" s="570"/>
      <c r="AJ91" s="570"/>
      <c r="AK91" s="570"/>
      <c r="AL91" s="1645">
        <v>11</v>
      </c>
    </row>
    <row s="1645" customFormat="1" customHeight="1" ht="11.549999999999999">
      <c r="A92" s="991"/>
      <c r="B92" s="1640"/>
      <c r="C92" s="1640"/>
      <c r="D92" s="355"/>
      <c r="J92" s="1645"/>
      <c r="K92" s="1645"/>
      <c r="L92" s="1645"/>
      <c r="M92" s="1645"/>
      <c r="N92" s="1645"/>
      <c r="O92" s="1645"/>
      <c r="Q92" s="1164"/>
      <c r="R92" s="1640"/>
      <c r="S92" s="1640"/>
      <c r="T92" s="1164"/>
      <c r="U92" s="1164"/>
      <c r="V92" s="1164"/>
      <c r="W92" s="1164"/>
      <c r="X92" s="1640"/>
      <c r="Y92" s="1164"/>
      <c r="Z92" s="1164"/>
      <c r="AA92" s="548"/>
      <c r="AB92" s="1164"/>
      <c r="AC92" s="1164"/>
      <c r="AD92" s="1164"/>
      <c r="AE92" s="1164"/>
      <c r="AF92" s="1164"/>
      <c r="AG92" s="1636"/>
      <c r="AH92" s="570"/>
      <c r="AI92" s="570"/>
      <c r="AJ92" s="570"/>
      <c r="AK92" s="570"/>
      <c r="AL92" s="1645">
        <v>11</v>
      </c>
    </row>
    <row s="1645" customFormat="1" customHeight="1" ht="11.549999999999999">
      <c r="A93" s="991"/>
      <c r="B93" s="1640"/>
      <c r="C93" s="1640"/>
      <c r="D93" s="355"/>
      <c r="J93" s="1645"/>
      <c r="K93" s="1645"/>
      <c r="L93" s="1645"/>
      <c r="M93" s="1645"/>
      <c r="N93" s="1645"/>
      <c r="O93" s="1645"/>
      <c r="Q93" s="1164"/>
      <c r="R93" s="1640"/>
      <c r="S93" s="1640"/>
      <c r="T93" s="1164"/>
      <c r="U93" s="1164"/>
      <c r="V93" s="1164"/>
      <c r="W93" s="1164"/>
      <c r="X93" s="1640"/>
      <c r="Y93" s="1164"/>
      <c r="Z93" s="1164"/>
      <c r="AA93" s="548"/>
      <c r="AB93" s="1164"/>
      <c r="AC93" s="1164"/>
      <c r="AD93" s="1164"/>
      <c r="AE93" s="1164"/>
      <c r="AF93" s="1164"/>
      <c r="AG93" s="1636"/>
      <c r="AH93" s="570"/>
      <c r="AI93" s="570"/>
      <c r="AJ93" s="570"/>
      <c r="AK93" s="570"/>
      <c r="AL93" s="1645">
        <v>11</v>
      </c>
    </row>
    <row s="1645" customFormat="1" customHeight="1" ht="11.549999999999999">
      <c r="A94" s="991"/>
      <c r="B94" s="1640"/>
      <c r="C94" s="1640"/>
      <c r="D94" s="355"/>
      <c r="J94" s="1645"/>
      <c r="K94" s="1645"/>
      <c r="L94" s="1645"/>
      <c r="M94" s="1645"/>
      <c r="N94" s="1645"/>
      <c r="O94" s="1645"/>
      <c r="Q94" s="1164"/>
      <c r="R94" s="1640"/>
      <c r="S94" s="1640"/>
      <c r="T94" s="1164"/>
      <c r="U94" s="1164"/>
      <c r="V94" s="1164"/>
      <c r="W94" s="1164"/>
      <c r="X94" s="1640"/>
      <c r="Y94" s="1164"/>
      <c r="Z94" s="1164"/>
      <c r="AA94" s="548"/>
      <c r="AB94" s="1164"/>
      <c r="AC94" s="1164"/>
      <c r="AD94" s="1164"/>
      <c r="AE94" s="1164"/>
      <c r="AF94" s="1164"/>
      <c r="AG94" s="1636"/>
      <c r="AH94" s="570"/>
      <c r="AI94" s="570"/>
      <c r="AJ94" s="570"/>
      <c r="AK94" s="570"/>
      <c r="AL94" s="1645">
        <v>11</v>
      </c>
    </row>
    <row s="1645" customFormat="1" customHeight="1" ht="11.549999999999999">
      <c r="A95" s="991"/>
      <c r="B95" s="1640"/>
      <c r="C95" s="1640"/>
      <c r="D95" s="355"/>
      <c r="J95" s="1645"/>
      <c r="K95" s="1645"/>
      <c r="L95" s="1645"/>
      <c r="M95" s="1645"/>
      <c r="N95" s="1645"/>
      <c r="O95" s="1645"/>
      <c r="Q95" s="1164"/>
      <c r="R95" s="1640"/>
      <c r="S95" s="1640"/>
      <c r="T95" s="1164"/>
      <c r="U95" s="1164"/>
      <c r="V95" s="1164"/>
      <c r="W95" s="1164"/>
      <c r="X95" s="1640"/>
      <c r="Y95" s="1164"/>
      <c r="Z95" s="1164"/>
      <c r="AA95" s="548"/>
      <c r="AB95" s="1164"/>
      <c r="AC95" s="1164"/>
      <c r="AD95" s="1164"/>
      <c r="AE95" s="1164"/>
      <c r="AF95" s="1164"/>
      <c r="AG95" s="1636"/>
      <c r="AH95" s="570"/>
      <c r="AI95" s="570"/>
      <c r="AJ95" s="570"/>
      <c r="AK95" s="570"/>
      <c r="AL95" s="1645">
        <v>11</v>
      </c>
    </row>
    <row s="1645" customFormat="1" customHeight="1" ht="11.549999999999999">
      <c r="A96" s="991"/>
      <c r="B96" s="1640"/>
      <c r="C96" s="1640"/>
      <c r="D96" s="355"/>
      <c r="J96" s="1645"/>
      <c r="K96" s="1645"/>
      <c r="L96" s="1645"/>
      <c r="M96" s="1645"/>
      <c r="N96" s="1645"/>
      <c r="O96" s="1645"/>
      <c r="Q96" s="1164"/>
      <c r="R96" s="1640"/>
      <c r="S96" s="1640"/>
      <c r="T96" s="1164"/>
      <c r="U96" s="1164"/>
      <c r="V96" s="1164"/>
      <c r="W96" s="1164"/>
      <c r="X96" s="1640"/>
      <c r="Y96" s="1164"/>
      <c r="Z96" s="1164"/>
      <c r="AA96" s="548"/>
      <c r="AB96" s="1164"/>
      <c r="AC96" s="1164"/>
      <c r="AD96" s="1164"/>
      <c r="AE96" s="1164"/>
      <c r="AF96" s="1164"/>
      <c r="AG96" s="1636"/>
      <c r="AH96" s="570"/>
      <c r="AI96" s="570"/>
      <c r="AJ96" s="570"/>
      <c r="AK96" s="570"/>
      <c r="AL96" s="1645">
        <v>11</v>
      </c>
    </row>
    <row s="1645" customFormat="1" customHeight="1" ht="11.549999999999999">
      <c r="A97" s="991"/>
      <c r="B97" s="1640"/>
      <c r="C97" s="1640"/>
      <c r="D97" s="355"/>
      <c r="J97" s="1645"/>
      <c r="K97" s="1645"/>
      <c r="L97" s="1645"/>
      <c r="M97" s="1645"/>
      <c r="N97" s="1645"/>
      <c r="O97" s="1645"/>
      <c r="Q97" s="1164"/>
      <c r="R97" s="1640"/>
      <c r="S97" s="1640"/>
      <c r="T97" s="1164"/>
      <c r="U97" s="1164"/>
      <c r="V97" s="1164"/>
      <c r="W97" s="1164"/>
      <c r="X97" s="1640"/>
      <c r="Y97" s="1164"/>
      <c r="Z97" s="1164"/>
      <c r="AA97" s="548"/>
      <c r="AB97" s="1164"/>
      <c r="AC97" s="1164"/>
      <c r="AD97" s="1164"/>
      <c r="AE97" s="1164"/>
      <c r="AF97" s="1164"/>
      <c r="AG97" s="1636"/>
      <c r="AH97" s="570"/>
      <c r="AI97" s="570"/>
      <c r="AJ97" s="570"/>
      <c r="AK97" s="570"/>
      <c r="AL97" s="1645">
        <v>11</v>
      </c>
    </row>
    <row s="1645" customFormat="1" customHeight="1" ht="11.549999999999999">
      <c r="A98" s="991"/>
      <c r="B98" s="1640"/>
      <c r="C98" s="1640"/>
      <c r="D98" s="355"/>
      <c r="J98" s="1645"/>
      <c r="K98" s="1645"/>
      <c r="L98" s="1645"/>
      <c r="M98" s="1645"/>
      <c r="N98" s="1645"/>
      <c r="O98" s="1645"/>
      <c r="Q98" s="1164"/>
      <c r="R98" s="1640"/>
      <c r="S98" s="1640"/>
      <c r="T98" s="1164"/>
      <c r="U98" s="1164"/>
      <c r="V98" s="1164"/>
      <c r="W98" s="1164"/>
      <c r="X98" s="1640"/>
      <c r="Y98" s="1164"/>
      <c r="Z98" s="1164"/>
      <c r="AA98" s="548"/>
      <c r="AB98" s="1164"/>
      <c r="AC98" s="1164"/>
      <c r="AD98" s="1164"/>
      <c r="AE98" s="1164"/>
      <c r="AF98" s="1164"/>
      <c r="AG98" s="1636"/>
      <c r="AH98" s="570"/>
      <c r="AI98" s="570"/>
      <c r="AJ98" s="570"/>
      <c r="AK98" s="570"/>
      <c r="AL98" s="1645">
        <v>11</v>
      </c>
    </row>
    <row s="1645" customFormat="1" customHeight="1" ht="11.549999999999999">
      <c r="A99" s="991"/>
      <c r="B99" s="1640"/>
      <c r="C99" s="1640"/>
      <c r="D99" s="355"/>
      <c r="J99" s="1645"/>
      <c r="K99" s="1645"/>
      <c r="L99" s="1645"/>
      <c r="M99" s="1645"/>
      <c r="N99" s="1645"/>
      <c r="O99" s="1645"/>
      <c r="Q99" s="1164"/>
      <c r="R99" s="1640"/>
      <c r="S99" s="1640"/>
      <c r="T99" s="1164"/>
      <c r="U99" s="1164"/>
      <c r="V99" s="1164"/>
      <c r="W99" s="1164"/>
      <c r="X99" s="1640"/>
      <c r="Y99" s="1164"/>
      <c r="Z99" s="1164"/>
      <c r="AA99" s="548"/>
      <c r="AB99" s="1164"/>
      <c r="AC99" s="1164"/>
      <c r="AD99" s="1164"/>
      <c r="AE99" s="1164"/>
      <c r="AF99" s="1164"/>
      <c r="AG99" s="1636"/>
      <c r="AH99" s="570"/>
      <c r="AI99" s="570"/>
      <c r="AJ99" s="570"/>
      <c r="AK99" s="570"/>
      <c r="AL99" s="1645">
        <v>11</v>
      </c>
    </row>
    <row s="1645" customFormat="1" customHeight="1" ht="11.549999999999999">
      <c r="A100" s="991"/>
      <c r="B100" s="1640"/>
      <c r="C100" s="1640"/>
      <c r="D100" s="355"/>
      <c r="J100" s="1645"/>
      <c r="K100" s="1645"/>
      <c r="L100" s="1645"/>
      <c r="M100" s="1645"/>
      <c r="N100" s="1645"/>
      <c r="O100" s="1645"/>
      <c r="Q100" s="1164"/>
      <c r="R100" s="1640"/>
      <c r="S100" s="1640"/>
      <c r="T100" s="1164"/>
      <c r="U100" s="1164"/>
      <c r="V100" s="1164"/>
      <c r="W100" s="1164"/>
      <c r="X100" s="1640"/>
      <c r="Y100" s="1164"/>
      <c r="Z100" s="1164"/>
      <c r="AA100" s="548"/>
      <c r="AB100" s="1164"/>
      <c r="AC100" s="1164"/>
      <c r="AD100" s="1164"/>
      <c r="AE100" s="1164"/>
      <c r="AF100" s="1164"/>
      <c r="AG100" s="1636"/>
      <c r="AH100" s="570"/>
      <c r="AI100" s="570"/>
      <c r="AJ100" s="570"/>
      <c r="AK100" s="570"/>
      <c r="AL100" s="1645">
        <v>11</v>
      </c>
    </row>
    <row s="1645" customFormat="1" customHeight="1" ht="11.549999999999999">
      <c r="A101" s="991"/>
      <c r="B101" s="1640"/>
      <c r="C101" s="1640"/>
      <c r="D101" s="355"/>
      <c r="J101" s="1645"/>
      <c r="K101" s="1645"/>
      <c r="L101" s="1645"/>
      <c r="M101" s="1645"/>
      <c r="N101" s="1645"/>
      <c r="O101" s="1645"/>
      <c r="Q101" s="1164"/>
      <c r="R101" s="1640"/>
      <c r="S101" s="1640"/>
      <c r="T101" s="1164"/>
      <c r="U101" s="1164"/>
      <c r="V101" s="1164"/>
      <c r="W101" s="1164"/>
      <c r="X101" s="1640"/>
      <c r="Y101" s="1164"/>
      <c r="Z101" s="1164"/>
      <c r="AA101" s="548"/>
      <c r="AB101" s="1164"/>
      <c r="AC101" s="1164"/>
      <c r="AD101" s="1164"/>
      <c r="AE101" s="1164"/>
      <c r="AF101" s="1164"/>
      <c r="AG101" s="1636"/>
      <c r="AH101" s="570"/>
      <c r="AI101" s="570"/>
      <c r="AJ101" s="570"/>
      <c r="AK101" s="570"/>
      <c r="AL101" s="1645">
        <v>11</v>
      </c>
    </row>
    <row s="1645" customFormat="1" customHeight="1" ht="11.549999999999999">
      <c r="A102" s="991"/>
      <c r="B102" s="1640"/>
      <c r="C102" s="1640"/>
      <c r="D102" s="355"/>
      <c r="J102" s="1645"/>
      <c r="K102" s="1645"/>
      <c r="L102" s="1645"/>
      <c r="M102" s="1645"/>
      <c r="N102" s="1645"/>
      <c r="O102" s="1645"/>
      <c r="Q102" s="1164"/>
      <c r="R102" s="1640"/>
      <c r="S102" s="1640"/>
      <c r="T102" s="1164"/>
      <c r="U102" s="1164"/>
      <c r="V102" s="1164"/>
      <c r="W102" s="1164"/>
      <c r="X102" s="1640"/>
      <c r="Y102" s="1164"/>
      <c r="Z102" s="1164"/>
      <c r="AA102" s="548"/>
      <c r="AB102" s="1164"/>
      <c r="AC102" s="1164"/>
      <c r="AD102" s="1164"/>
      <c r="AE102" s="1164"/>
      <c r="AF102" s="1164"/>
      <c r="AG102" s="1636"/>
      <c r="AH102" s="570"/>
      <c r="AI102" s="570"/>
      <c r="AJ102" s="570"/>
      <c r="AK102" s="570"/>
      <c r="AL102" s="1645">
        <v>11</v>
      </c>
    </row>
    <row s="1645" customFormat="1" customHeight="1" ht="11.549999999999999">
      <c r="A103" s="991"/>
      <c r="B103" s="1640"/>
      <c r="C103" s="1640"/>
      <c r="D103" s="355"/>
      <c r="J103" s="1645"/>
      <c r="K103" s="1645"/>
      <c r="L103" s="1645"/>
      <c r="M103" s="1645"/>
      <c r="N103" s="1645"/>
      <c r="O103" s="1645"/>
      <c r="Q103" s="1164"/>
      <c r="R103" s="1640"/>
      <c r="S103" s="1640"/>
      <c r="T103" s="1164"/>
      <c r="U103" s="1164"/>
      <c r="V103" s="1164"/>
      <c r="W103" s="1164"/>
      <c r="X103" s="1640"/>
      <c r="Y103" s="1164"/>
      <c r="Z103" s="1164"/>
      <c r="AA103" s="548"/>
      <c r="AB103" s="1164"/>
      <c r="AC103" s="1164"/>
      <c r="AD103" s="1164"/>
      <c r="AE103" s="1164"/>
      <c r="AF103" s="1164"/>
      <c r="AG103" s="1636"/>
      <c r="AH103" s="570"/>
      <c r="AI103" s="570"/>
      <c r="AJ103" s="570"/>
      <c r="AK103" s="570"/>
      <c r="AL103" s="1645">
        <v>11</v>
      </c>
    </row>
    <row s="1645" customFormat="1" customHeight="1" ht="11.549999999999999">
      <c r="A104" s="991"/>
      <c r="B104" s="1640"/>
      <c r="C104" s="1640"/>
      <c r="D104" s="355"/>
      <c r="J104" s="1645"/>
      <c r="K104" s="1645"/>
      <c r="L104" s="1645"/>
      <c r="M104" s="1645"/>
      <c r="N104" s="1645"/>
      <c r="O104" s="1645"/>
      <c r="Q104" s="1164"/>
      <c r="R104" s="1640"/>
      <c r="S104" s="1640"/>
      <c r="T104" s="1164"/>
      <c r="U104" s="1164"/>
      <c r="V104" s="1164"/>
      <c r="W104" s="1164"/>
      <c r="X104" s="1640"/>
      <c r="Y104" s="1164"/>
      <c r="Z104" s="1164"/>
      <c r="AA104" s="548"/>
      <c r="AB104" s="1164"/>
      <c r="AC104" s="1164"/>
      <c r="AD104" s="1164"/>
      <c r="AE104" s="1164"/>
      <c r="AF104" s="1164"/>
      <c r="AG104" s="1636"/>
      <c r="AH104" s="570"/>
      <c r="AI104" s="570"/>
      <c r="AJ104" s="570"/>
      <c r="AK104" s="570"/>
      <c r="AL104" s="1645">
        <v>11</v>
      </c>
    </row>
    <row s="1645" customFormat="1" customHeight="1" ht="11.549999999999999">
      <c r="A105" s="991"/>
      <c r="B105" s="1640"/>
      <c r="C105" s="1640"/>
      <c r="D105" s="355"/>
      <c r="J105" s="1645"/>
      <c r="K105" s="1645"/>
      <c r="L105" s="1645"/>
      <c r="M105" s="1645"/>
      <c r="N105" s="1645"/>
      <c r="O105" s="1645"/>
      <c r="Q105" s="1164"/>
      <c r="R105" s="1640"/>
      <c r="S105" s="1640"/>
      <c r="T105" s="1164"/>
      <c r="U105" s="1164"/>
      <c r="V105" s="1164"/>
      <c r="W105" s="1164"/>
      <c r="X105" s="1640"/>
      <c r="Y105" s="1164"/>
      <c r="Z105" s="1164"/>
      <c r="AA105" s="548"/>
      <c r="AB105" s="1164"/>
      <c r="AC105" s="1164"/>
      <c r="AD105" s="1164"/>
      <c r="AE105" s="1164"/>
      <c r="AF105" s="1164"/>
      <c r="AG105" s="1636"/>
      <c r="AH105" s="570"/>
      <c r="AI105" s="570"/>
      <c r="AJ105" s="570"/>
      <c r="AK105" s="570"/>
      <c r="AL105" s="1645">
        <v>11</v>
      </c>
    </row>
    <row s="1645" customFormat="1" customHeight="1" ht="11.549999999999999">
      <c r="A106" s="991"/>
      <c r="B106" s="1640"/>
      <c r="C106" s="1640"/>
      <c r="D106" s="355"/>
      <c r="J106" s="1645"/>
      <c r="K106" s="1645"/>
      <c r="L106" s="1645"/>
      <c r="M106" s="1645"/>
      <c r="N106" s="1645"/>
      <c r="O106" s="1645"/>
      <c r="Q106" s="1164"/>
      <c r="R106" s="1640"/>
      <c r="S106" s="1640"/>
      <c r="T106" s="1164"/>
      <c r="U106" s="1164"/>
      <c r="V106" s="1164"/>
      <c r="W106" s="1164"/>
      <c r="X106" s="1640"/>
      <c r="Y106" s="1164"/>
      <c r="Z106" s="1164"/>
      <c r="AA106" s="548"/>
      <c r="AB106" s="1164"/>
      <c r="AC106" s="1164"/>
      <c r="AD106" s="1164"/>
      <c r="AE106" s="1164"/>
      <c r="AF106" s="1164"/>
      <c r="AG106" s="1636"/>
      <c r="AH106" s="570"/>
      <c r="AI106" s="570"/>
      <c r="AJ106" s="570"/>
      <c r="AK106" s="570"/>
      <c r="AL106" s="1645">
        <v>11</v>
      </c>
    </row>
    <row s="1645" customFormat="1" customHeight="1" ht="11.549999999999999">
      <c r="A107" s="991"/>
      <c r="B107" s="1640"/>
      <c r="C107" s="1640"/>
      <c r="D107" s="355"/>
      <c r="J107" s="1645"/>
      <c r="K107" s="1645"/>
      <c r="L107" s="1645"/>
      <c r="M107" s="1645"/>
      <c r="N107" s="1645"/>
      <c r="O107" s="1645"/>
      <c r="Q107" s="1164"/>
      <c r="R107" s="1640"/>
      <c r="S107" s="1640"/>
      <c r="T107" s="1164"/>
      <c r="U107" s="1164"/>
      <c r="V107" s="1164"/>
      <c r="W107" s="1164"/>
      <c r="X107" s="1640"/>
      <c r="Y107" s="1164"/>
      <c r="Z107" s="1164"/>
      <c r="AA107" s="548"/>
      <c r="AB107" s="1164"/>
      <c r="AC107" s="1164"/>
      <c r="AD107" s="1164"/>
      <c r="AE107" s="1164"/>
      <c r="AF107" s="1164"/>
      <c r="AG107" s="1636"/>
      <c r="AH107" s="570"/>
      <c r="AI107" s="570"/>
      <c r="AJ107" s="570"/>
      <c r="AK107" s="570"/>
      <c r="AL107" s="1645">
        <v>11</v>
      </c>
    </row>
    <row s="1645" customFormat="1" customHeight="1" ht="11.549999999999999">
      <c r="A108" s="991"/>
      <c r="B108" s="1640"/>
      <c r="C108" s="1640"/>
      <c r="D108" s="355"/>
      <c r="J108" s="1645"/>
      <c r="K108" s="1645"/>
      <c r="L108" s="1645"/>
      <c r="M108" s="1645"/>
      <c r="N108" s="1645"/>
      <c r="O108" s="1645"/>
      <c r="Q108" s="1164"/>
      <c r="R108" s="1640"/>
      <c r="S108" s="1640"/>
      <c r="T108" s="1164"/>
      <c r="U108" s="1164"/>
      <c r="V108" s="1164"/>
      <c r="W108" s="1164"/>
      <c r="X108" s="1640"/>
      <c r="Y108" s="1164"/>
      <c r="Z108" s="1164"/>
      <c r="AA108" s="548"/>
      <c r="AB108" s="1164"/>
      <c r="AC108" s="1164"/>
      <c r="AD108" s="1164"/>
      <c r="AE108" s="1164"/>
      <c r="AF108" s="1164"/>
      <c r="AG108" s="1636"/>
      <c r="AH108" s="570"/>
      <c r="AI108" s="570"/>
      <c r="AJ108" s="570"/>
      <c r="AK108" s="570"/>
      <c r="AL108" s="1645">
        <v>11</v>
      </c>
    </row>
    <row s="1645" customFormat="1" customHeight="1" ht="11.549999999999999">
      <c r="A109" s="991"/>
      <c r="B109" s="1640"/>
      <c r="C109" s="1640"/>
      <c r="D109" s="355"/>
      <c r="J109" s="1645"/>
      <c r="K109" s="1645"/>
      <c r="L109" s="1645"/>
      <c r="M109" s="1645"/>
      <c r="N109" s="1645"/>
      <c r="O109" s="1645"/>
      <c r="Q109" s="1164"/>
      <c r="R109" s="1640"/>
      <c r="S109" s="1640"/>
      <c r="T109" s="1164"/>
      <c r="U109" s="1164"/>
      <c r="V109" s="1164"/>
      <c r="W109" s="1164"/>
      <c r="X109" s="1640"/>
      <c r="Y109" s="1164"/>
      <c r="Z109" s="1164"/>
      <c r="AA109" s="548"/>
      <c r="AB109" s="1164"/>
      <c r="AC109" s="1164"/>
      <c r="AD109" s="1164"/>
      <c r="AE109" s="1164"/>
      <c r="AF109" s="1164"/>
      <c r="AG109" s="1636"/>
      <c r="AH109" s="570"/>
      <c r="AI109" s="570"/>
      <c r="AJ109" s="570"/>
      <c r="AK109" s="570"/>
      <c r="AL109" s="1645">
        <v>11</v>
      </c>
    </row>
    <row s="1645" customFormat="1" customHeight="1" ht="11.549999999999999">
      <c r="A110" s="991"/>
      <c r="B110" s="1640"/>
      <c r="C110" s="1640"/>
      <c r="D110" s="355"/>
      <c r="J110" s="1645"/>
      <c r="K110" s="1645"/>
      <c r="L110" s="1645"/>
      <c r="M110" s="1645"/>
      <c r="N110" s="1645"/>
      <c r="O110" s="1645"/>
      <c r="Q110" s="1164"/>
      <c r="R110" s="1640"/>
      <c r="S110" s="1640"/>
      <c r="T110" s="1164"/>
      <c r="U110" s="1164"/>
      <c r="V110" s="1164"/>
      <c r="W110" s="1164"/>
      <c r="X110" s="1640"/>
      <c r="Y110" s="1164"/>
      <c r="Z110" s="1164"/>
      <c r="AA110" s="548"/>
      <c r="AB110" s="1164"/>
      <c r="AC110" s="1164"/>
      <c r="AD110" s="1164"/>
      <c r="AE110" s="1164"/>
      <c r="AF110" s="1164"/>
      <c r="AG110" s="1636"/>
      <c r="AH110" s="570"/>
      <c r="AI110" s="570"/>
      <c r="AJ110" s="570"/>
      <c r="AK110" s="570"/>
      <c r="AL110" s="1645">
        <v>11</v>
      </c>
    </row>
    <row s="1645" customFormat="1" customHeight="1" ht="11.549999999999999">
      <c r="A111" s="991"/>
      <c r="B111" s="1640"/>
      <c r="C111" s="1640"/>
      <c r="D111" s="355"/>
      <c r="J111" s="1645"/>
      <c r="K111" s="1645"/>
      <c r="L111" s="1645"/>
      <c r="M111" s="1645"/>
      <c r="N111" s="1645"/>
      <c r="O111" s="1645"/>
      <c r="Q111" s="1164"/>
      <c r="R111" s="1640"/>
      <c r="S111" s="1640"/>
      <c r="T111" s="1164"/>
      <c r="U111" s="1164"/>
      <c r="V111" s="1164"/>
      <c r="W111" s="1164"/>
      <c r="X111" s="1640"/>
      <c r="Y111" s="1164"/>
      <c r="Z111" s="1164"/>
      <c r="AA111" s="548"/>
      <c r="AB111" s="1164"/>
      <c r="AC111" s="1164"/>
      <c r="AD111" s="1164"/>
      <c r="AE111" s="1164"/>
      <c r="AF111" s="1164"/>
      <c r="AG111" s="1636"/>
      <c r="AH111" s="570"/>
      <c r="AI111" s="570"/>
      <c r="AJ111" s="570"/>
      <c r="AK111" s="570"/>
      <c r="AL111" s="1645">
        <v>11</v>
      </c>
    </row>
    <row s="1645" customFormat="1" customHeight="1" ht="11.549999999999999">
      <c r="A112" s="991"/>
      <c r="B112" s="1640"/>
      <c r="C112" s="1640"/>
      <c r="D112" s="355"/>
      <c r="J112" s="1645"/>
      <c r="K112" s="1645"/>
      <c r="L112" s="1645"/>
      <c r="M112" s="1645"/>
      <c r="N112" s="1645"/>
      <c r="O112" s="1645"/>
      <c r="Q112" s="1164"/>
      <c r="R112" s="1640"/>
      <c r="S112" s="1640"/>
      <c r="T112" s="1164"/>
      <c r="U112" s="1164"/>
      <c r="V112" s="1164"/>
      <c r="W112" s="1164"/>
      <c r="X112" s="1640"/>
      <c r="Y112" s="1164"/>
      <c r="Z112" s="1164"/>
      <c r="AA112" s="548"/>
      <c r="AB112" s="1164"/>
      <c r="AC112" s="1164"/>
      <c r="AD112" s="1164"/>
      <c r="AE112" s="1164"/>
      <c r="AF112" s="1164"/>
      <c r="AG112" s="1636"/>
      <c r="AH112" s="570"/>
      <c r="AI112" s="570"/>
      <c r="AJ112" s="570"/>
      <c r="AK112" s="570"/>
      <c r="AL112" s="1645">
        <v>11</v>
      </c>
    </row>
    <row s="1645" customFormat="1" customHeight="1" ht="11.549999999999999">
      <c r="A113" s="991"/>
      <c r="B113" s="1640"/>
      <c r="C113" s="1640"/>
      <c r="D113" s="355"/>
      <c r="J113" s="1645"/>
      <c r="K113" s="1645"/>
      <c r="L113" s="1645"/>
      <c r="M113" s="1645"/>
      <c r="N113" s="1645"/>
      <c r="O113" s="1645"/>
      <c r="Q113" s="1164"/>
      <c r="R113" s="1640"/>
      <c r="S113" s="1640"/>
      <c r="T113" s="1164"/>
      <c r="U113" s="1164"/>
      <c r="V113" s="1164"/>
      <c r="W113" s="1164"/>
      <c r="X113" s="1640"/>
      <c r="Y113" s="1164"/>
      <c r="Z113" s="1164"/>
      <c r="AA113" s="548"/>
      <c r="AB113" s="1164"/>
      <c r="AC113" s="1164"/>
      <c r="AD113" s="1164"/>
      <c r="AE113" s="1164"/>
      <c r="AF113" s="1164"/>
      <c r="AG113" s="1636"/>
      <c r="AH113" s="570"/>
      <c r="AI113" s="570"/>
      <c r="AJ113" s="570"/>
      <c r="AK113" s="570"/>
      <c r="AL113" s="1645">
        <v>11</v>
      </c>
    </row>
    <row s="1645" customFormat="1" customHeight="1" ht="11.549999999999999">
      <c r="A114" s="991"/>
      <c r="B114" s="1640"/>
      <c r="C114" s="1640"/>
      <c r="D114" s="355"/>
      <c r="J114" s="1645"/>
      <c r="K114" s="1645"/>
      <c r="L114" s="1645"/>
      <c r="M114" s="1645"/>
      <c r="N114" s="1645"/>
      <c r="O114" s="1645"/>
      <c r="Q114" s="1164"/>
      <c r="R114" s="1640"/>
      <c r="S114" s="1640"/>
      <c r="T114" s="1164"/>
      <c r="U114" s="1164"/>
      <c r="V114" s="1164"/>
      <c r="W114" s="1164"/>
      <c r="X114" s="1640"/>
      <c r="Y114" s="1164"/>
      <c r="Z114" s="1164"/>
      <c r="AA114" s="548"/>
      <c r="AB114" s="1164"/>
      <c r="AC114" s="1164"/>
      <c r="AD114" s="1164"/>
      <c r="AE114" s="1164"/>
      <c r="AF114" s="1164"/>
      <c r="AG114" s="1636"/>
      <c r="AH114" s="570"/>
      <c r="AI114" s="570"/>
      <c r="AJ114" s="570"/>
      <c r="AK114" s="570"/>
      <c r="AL114" s="1645">
        <v>11</v>
      </c>
    </row>
    <row s="1645" customFormat="1" customHeight="1" ht="11.549999999999999">
      <c r="A115" s="991"/>
      <c r="B115" s="1640"/>
      <c r="C115" s="1640"/>
      <c r="D115" s="355"/>
      <c r="J115" s="1645"/>
      <c r="K115" s="1645"/>
      <c r="L115" s="1645"/>
      <c r="M115" s="1645"/>
      <c r="N115" s="1645"/>
      <c r="O115" s="1645"/>
      <c r="Q115" s="1164"/>
      <c r="R115" s="1640"/>
      <c r="S115" s="1640"/>
      <c r="T115" s="1164"/>
      <c r="U115" s="1164"/>
      <c r="V115" s="1164"/>
      <c r="W115" s="1164"/>
      <c r="X115" s="1640"/>
      <c r="Y115" s="1164"/>
      <c r="Z115" s="1164"/>
      <c r="AA115" s="548"/>
      <c r="AB115" s="1164"/>
      <c r="AC115" s="1164"/>
      <c r="AD115" s="1164"/>
      <c r="AE115" s="1164"/>
      <c r="AF115" s="1164"/>
      <c r="AG115" s="1636"/>
      <c r="AH115" s="570"/>
      <c r="AI115" s="570"/>
      <c r="AJ115" s="570"/>
      <c r="AK115" s="570"/>
      <c r="AL115" s="1645">
        <v>11</v>
      </c>
    </row>
    <row s="1645" customFormat="1" customHeight="1" ht="11.549999999999999">
      <c r="A116" s="991"/>
      <c r="B116" s="1640"/>
      <c r="C116" s="1640"/>
      <c r="D116" s="355"/>
      <c r="J116" s="1645"/>
      <c r="K116" s="1645"/>
      <c r="L116" s="1645"/>
      <c r="M116" s="1645"/>
      <c r="N116" s="1645"/>
      <c r="O116" s="1645"/>
      <c r="Q116" s="1164"/>
      <c r="R116" s="1640"/>
      <c r="S116" s="1640"/>
      <c r="T116" s="1164"/>
      <c r="U116" s="1164"/>
      <c r="V116" s="1164"/>
      <c r="W116" s="1164"/>
      <c r="X116" s="1640"/>
      <c r="Y116" s="1164"/>
      <c r="Z116" s="1164"/>
      <c r="AA116" s="548"/>
      <c r="AB116" s="1164"/>
      <c r="AC116" s="1164"/>
      <c r="AD116" s="1164"/>
      <c r="AE116" s="1164"/>
      <c r="AF116" s="1164"/>
      <c r="AG116" s="1636"/>
      <c r="AH116" s="570"/>
      <c r="AI116" s="570"/>
      <c r="AJ116" s="570"/>
      <c r="AK116" s="570"/>
      <c r="AL116" s="1645">
        <v>11</v>
      </c>
    </row>
    <row s="1645" customFormat="1" customHeight="1" ht="11.549999999999999">
      <c r="A117" s="991"/>
      <c r="B117" s="1640"/>
      <c r="C117" s="1640"/>
      <c r="D117" s="355"/>
      <c r="J117" s="1645"/>
      <c r="K117" s="1645"/>
      <c r="L117" s="1645"/>
      <c r="M117" s="1645"/>
      <c r="N117" s="1645"/>
      <c r="O117" s="1645"/>
      <c r="Q117" s="1164"/>
      <c r="R117" s="1640"/>
      <c r="S117" s="1640"/>
      <c r="T117" s="1164"/>
      <c r="U117" s="1164"/>
      <c r="V117" s="1164"/>
      <c r="W117" s="1164"/>
      <c r="X117" s="1640"/>
      <c r="Y117" s="1164"/>
      <c r="Z117" s="1164"/>
      <c r="AA117" s="548"/>
      <c r="AB117" s="1164"/>
      <c r="AC117" s="1164"/>
      <c r="AD117" s="1164"/>
      <c r="AE117" s="1164"/>
      <c r="AF117" s="1164"/>
      <c r="AG117" s="1636"/>
      <c r="AH117" s="570"/>
      <c r="AI117" s="570"/>
      <c r="AJ117" s="570"/>
      <c r="AK117" s="570"/>
      <c r="AL117" s="1645">
        <v>11</v>
      </c>
    </row>
    <row s="1645" customFormat="1" customHeight="1" ht="11.549999999999999">
      <c r="A118" s="991"/>
      <c r="B118" s="1640"/>
      <c r="C118" s="1640"/>
      <c r="D118" s="355"/>
      <c r="J118" s="1645"/>
      <c r="K118" s="1645"/>
      <c r="L118" s="1645"/>
      <c r="M118" s="1645"/>
      <c r="N118" s="1645"/>
      <c r="O118" s="1645"/>
      <c r="Q118" s="1164"/>
      <c r="R118" s="1640"/>
      <c r="S118" s="1640"/>
      <c r="T118" s="1164"/>
      <c r="U118" s="1164"/>
      <c r="V118" s="1164"/>
      <c r="W118" s="1164"/>
      <c r="X118" s="1640"/>
      <c r="Y118" s="1164"/>
      <c r="Z118" s="1164"/>
      <c r="AA118" s="548"/>
      <c r="AB118" s="1164"/>
      <c r="AC118" s="1164"/>
      <c r="AD118" s="1164"/>
      <c r="AE118" s="1164"/>
      <c r="AF118" s="1164"/>
      <c r="AG118" s="1636"/>
      <c r="AH118" s="570"/>
      <c r="AI118" s="570"/>
      <c r="AJ118" s="570"/>
      <c r="AK118" s="570"/>
      <c r="AL118" s="1645">
        <v>11</v>
      </c>
    </row>
    <row s="1645" customFormat="1" customHeight="1" ht="11.549999999999999">
      <c r="A119" s="991"/>
      <c r="B119" s="1640"/>
      <c r="C119" s="1640"/>
      <c r="D119" s="355"/>
      <c r="J119" s="1645"/>
      <c r="K119" s="1645"/>
      <c r="L119" s="1645"/>
      <c r="M119" s="1645"/>
      <c r="N119" s="1645"/>
      <c r="O119" s="1645"/>
      <c r="Q119" s="1164"/>
      <c r="R119" s="1640"/>
      <c r="S119" s="1640"/>
      <c r="T119" s="1164"/>
      <c r="U119" s="1164"/>
      <c r="V119" s="1164"/>
      <c r="W119" s="1164"/>
      <c r="X119" s="1640"/>
      <c r="Y119" s="1164"/>
      <c r="Z119" s="1164"/>
      <c r="AA119" s="548"/>
      <c r="AB119" s="1164"/>
      <c r="AC119" s="1164"/>
      <c r="AD119" s="1164"/>
      <c r="AE119" s="1164"/>
      <c r="AF119" s="1164"/>
      <c r="AG119" s="1636"/>
      <c r="AH119" s="570"/>
      <c r="AI119" s="570"/>
      <c r="AJ119" s="570"/>
      <c r="AK119" s="570"/>
      <c r="AL119" s="1645">
        <v>11</v>
      </c>
    </row>
    <row s="1645" customFormat="1" customHeight="1" ht="11.549999999999999">
      <c r="A120" s="991"/>
      <c r="B120" s="1640"/>
      <c r="C120" s="1640"/>
      <c r="D120" s="355"/>
      <c r="J120" s="1645"/>
      <c r="K120" s="1645"/>
      <c r="L120" s="1645"/>
      <c r="M120" s="1645"/>
      <c r="N120" s="1645"/>
      <c r="O120" s="1645"/>
      <c r="Q120" s="1164"/>
      <c r="R120" s="1640"/>
      <c r="S120" s="1640"/>
      <c r="T120" s="1164"/>
      <c r="U120" s="1164"/>
      <c r="V120" s="1164"/>
      <c r="W120" s="1164"/>
      <c r="X120" s="1640"/>
      <c r="Y120" s="1164"/>
      <c r="Z120" s="1164"/>
      <c r="AA120" s="548"/>
      <c r="AB120" s="1164"/>
      <c r="AC120" s="1164"/>
      <c r="AD120" s="1164"/>
      <c r="AE120" s="1164"/>
      <c r="AF120" s="1164"/>
      <c r="AG120" s="1636"/>
      <c r="AH120" s="570"/>
      <c r="AI120" s="570"/>
      <c r="AJ120" s="570"/>
      <c r="AK120" s="570"/>
      <c r="AL120" s="1645">
        <v>11</v>
      </c>
    </row>
    <row s="1645" customFormat="1" customHeight="1" ht="11.549999999999999">
      <c r="A121" s="991"/>
      <c r="B121" s="1640"/>
      <c r="C121" s="1640"/>
      <c r="D121" s="355"/>
      <c r="J121" s="1645"/>
      <c r="K121" s="1645"/>
      <c r="L121" s="1645"/>
      <c r="M121" s="1645"/>
      <c r="N121" s="1645"/>
      <c r="O121" s="1645"/>
      <c r="Q121" s="1164"/>
      <c r="R121" s="1640"/>
      <c r="S121" s="1640"/>
      <c r="T121" s="1164"/>
      <c r="U121" s="1164"/>
      <c r="V121" s="1164"/>
      <c r="W121" s="1164"/>
      <c r="X121" s="1640"/>
      <c r="Y121" s="1164"/>
      <c r="Z121" s="1164"/>
      <c r="AA121" s="548"/>
      <c r="AB121" s="1164"/>
      <c r="AC121" s="1164"/>
      <c r="AD121" s="1164"/>
      <c r="AE121" s="1164"/>
      <c r="AF121" s="1164"/>
      <c r="AG121" s="1636"/>
      <c r="AH121" s="570"/>
      <c r="AI121" s="570"/>
      <c r="AJ121" s="570"/>
      <c r="AK121" s="570"/>
      <c r="AL121" s="1645">
        <v>11</v>
      </c>
    </row>
    <row s="1645" customFormat="1" customHeight="1" ht="11.549999999999999">
      <c r="A122" s="991"/>
      <c r="B122" s="1640"/>
      <c r="C122" s="1640"/>
      <c r="D122" s="355"/>
      <c r="J122" s="1645"/>
      <c r="K122" s="1645"/>
      <c r="L122" s="1645"/>
      <c r="M122" s="1645"/>
      <c r="N122" s="1645"/>
      <c r="O122" s="1645"/>
      <c r="Q122" s="1164"/>
      <c r="R122" s="1640"/>
      <c r="S122" s="1640"/>
      <c r="T122" s="1164"/>
      <c r="U122" s="1164"/>
      <c r="V122" s="1164"/>
      <c r="W122" s="1164"/>
      <c r="X122" s="1640"/>
      <c r="Y122" s="1164"/>
      <c r="Z122" s="1164"/>
      <c r="AA122" s="548"/>
      <c r="AB122" s="1164"/>
      <c r="AC122" s="1164"/>
      <c r="AD122" s="1164"/>
      <c r="AE122" s="1164"/>
      <c r="AF122" s="1164"/>
      <c r="AG122" s="1636"/>
      <c r="AH122" s="570"/>
      <c r="AI122" s="570"/>
      <c r="AJ122" s="570"/>
      <c r="AK122" s="570"/>
      <c r="AL122" s="1645">
        <v>11</v>
      </c>
    </row>
    <row s="1645" customFormat="1" customHeight="1" ht="11.549999999999999">
      <c r="A123" s="991"/>
      <c r="B123" s="1640"/>
      <c r="C123" s="1640"/>
      <c r="D123" s="355"/>
      <c r="J123" s="1645"/>
      <c r="K123" s="1645"/>
      <c r="L123" s="1645"/>
      <c r="M123" s="1645"/>
      <c r="N123" s="1645"/>
      <c r="O123" s="1645"/>
      <c r="Q123" s="1164"/>
      <c r="R123" s="1640"/>
      <c r="S123" s="1640"/>
      <c r="T123" s="1164"/>
      <c r="U123" s="1164"/>
      <c r="V123" s="1164"/>
      <c r="W123" s="1164"/>
      <c r="X123" s="1640"/>
      <c r="Y123" s="1164"/>
      <c r="Z123" s="1164"/>
      <c r="AA123" s="548"/>
      <c r="AB123" s="1164"/>
      <c r="AC123" s="1164"/>
      <c r="AD123" s="1164"/>
      <c r="AE123" s="1164"/>
      <c r="AF123" s="1164"/>
      <c r="AG123" s="1636"/>
      <c r="AH123" s="570"/>
      <c r="AI123" s="570"/>
      <c r="AJ123" s="570"/>
      <c r="AK123" s="570"/>
      <c r="AL123" s="1645">
        <v>11</v>
      </c>
    </row>
    <row s="1645" customFormat="1" customHeight="1" ht="11.549999999999999">
      <c r="A124" s="991"/>
      <c r="B124" s="1640"/>
      <c r="C124" s="1640"/>
      <c r="D124" s="355"/>
      <c r="J124" s="1645"/>
      <c r="K124" s="1645"/>
      <c r="L124" s="1645"/>
      <c r="M124" s="1645"/>
      <c r="N124" s="1645"/>
      <c r="O124" s="1645"/>
      <c r="Q124" s="1164"/>
      <c r="R124" s="1640"/>
      <c r="S124" s="1640"/>
      <c r="T124" s="1164"/>
      <c r="U124" s="1164"/>
      <c r="V124" s="1164"/>
      <c r="W124" s="1164"/>
      <c r="X124" s="1640"/>
      <c r="Y124" s="1164"/>
      <c r="Z124" s="1164"/>
      <c r="AA124" s="548"/>
      <c r="AB124" s="1164"/>
      <c r="AC124" s="1164"/>
      <c r="AD124" s="1164"/>
      <c r="AE124" s="1164"/>
      <c r="AF124" s="1164"/>
      <c r="AG124" s="1636"/>
      <c r="AH124" s="570"/>
      <c r="AI124" s="570"/>
      <c r="AJ124" s="570"/>
      <c r="AK124" s="570"/>
      <c r="AL124" s="1645">
        <v>11</v>
      </c>
    </row>
    <row s="1645" customFormat="1" customHeight="1" ht="11.549999999999999">
      <c r="A125" s="991"/>
      <c r="B125" s="1640"/>
      <c r="C125" s="1640"/>
      <c r="D125" s="355"/>
      <c r="J125" s="1645"/>
      <c r="K125" s="1645"/>
      <c r="L125" s="1645"/>
      <c r="M125" s="1645"/>
      <c r="N125" s="1645"/>
      <c r="O125" s="1645"/>
      <c r="Q125" s="1164"/>
      <c r="R125" s="1640"/>
      <c r="S125" s="1640"/>
      <c r="T125" s="1164"/>
      <c r="U125" s="1164"/>
      <c r="V125" s="1164"/>
      <c r="W125" s="1164"/>
      <c r="X125" s="1640"/>
      <c r="Y125" s="1164"/>
      <c r="Z125" s="1164"/>
      <c r="AA125" s="548"/>
      <c r="AB125" s="1164"/>
      <c r="AC125" s="1164"/>
      <c r="AD125" s="1164"/>
      <c r="AE125" s="1164"/>
      <c r="AF125" s="1164"/>
      <c r="AG125" s="1636"/>
      <c r="AH125" s="570"/>
      <c r="AI125" s="570"/>
      <c r="AJ125" s="570"/>
      <c r="AK125" s="570"/>
      <c r="AL125" s="1645">
        <v>11</v>
      </c>
    </row>
    <row s="1645" customFormat="1" customHeight="1" ht="11.549999999999999">
      <c r="A126" s="991"/>
      <c r="B126" s="1640"/>
      <c r="C126" s="1640"/>
      <c r="D126" s="355"/>
      <c r="J126" s="1645"/>
      <c r="K126" s="1645"/>
      <c r="L126" s="1645"/>
      <c r="M126" s="1645"/>
      <c r="N126" s="1645"/>
      <c r="O126" s="1645"/>
      <c r="Q126" s="1164"/>
      <c r="R126" s="1640"/>
      <c r="S126" s="1640"/>
      <c r="T126" s="1164"/>
      <c r="U126" s="1164"/>
      <c r="V126" s="1164"/>
      <c r="W126" s="1164"/>
      <c r="X126" s="1640"/>
      <c r="Y126" s="1164"/>
      <c r="Z126" s="1164"/>
      <c r="AA126" s="548"/>
      <c r="AB126" s="1164"/>
      <c r="AC126" s="1164"/>
      <c r="AD126" s="1164"/>
      <c r="AE126" s="1164"/>
      <c r="AF126" s="1164"/>
      <c r="AG126" s="1636"/>
      <c r="AH126" s="570"/>
      <c r="AI126" s="570"/>
      <c r="AJ126" s="570"/>
      <c r="AK126" s="570"/>
      <c r="AL126" s="1645">
        <v>11</v>
      </c>
    </row>
    <row s="1645" customFormat="1" customHeight="1" ht="11.549999999999999">
      <c r="A127" s="991"/>
      <c r="B127" s="1640"/>
      <c r="C127" s="1640"/>
      <c r="D127" s="355"/>
      <c r="J127" s="1645"/>
      <c r="K127" s="1645"/>
      <c r="L127" s="1645"/>
      <c r="M127" s="1645"/>
      <c r="N127" s="1645"/>
      <c r="O127" s="1645"/>
      <c r="Q127" s="1164"/>
      <c r="R127" s="1640"/>
      <c r="S127" s="1640"/>
      <c r="T127" s="1164"/>
      <c r="U127" s="1164"/>
      <c r="V127" s="1164"/>
      <c r="W127" s="1164"/>
      <c r="X127" s="1640"/>
      <c r="Y127" s="1164"/>
      <c r="Z127" s="1164"/>
      <c r="AA127" s="548"/>
      <c r="AB127" s="1164"/>
      <c r="AC127" s="1164"/>
      <c r="AD127" s="1164"/>
      <c r="AE127" s="1164"/>
      <c r="AF127" s="1164"/>
      <c r="AG127" s="1636"/>
      <c r="AH127" s="570"/>
      <c r="AI127" s="570"/>
      <c r="AJ127" s="570"/>
      <c r="AK127" s="570"/>
      <c r="AL127" s="1645">
        <v>11</v>
      </c>
    </row>
    <row s="1645" customFormat="1" customHeight="1" ht="11.549999999999999">
      <c r="A128" s="991"/>
      <c r="B128" s="1640"/>
      <c r="C128" s="1640"/>
      <c r="D128" s="355"/>
      <c r="J128" s="1645"/>
      <c r="K128" s="1645"/>
      <c r="L128" s="1645"/>
      <c r="M128" s="1645"/>
      <c r="N128" s="1645"/>
      <c r="O128" s="1645"/>
      <c r="Q128" s="1164"/>
      <c r="R128" s="1640"/>
      <c r="S128" s="1640"/>
      <c r="T128" s="1164"/>
      <c r="U128" s="1164"/>
      <c r="V128" s="1164"/>
      <c r="W128" s="1164"/>
      <c r="X128" s="1640"/>
      <c r="Y128" s="1164"/>
      <c r="Z128" s="1164"/>
      <c r="AA128" s="548"/>
      <c r="AB128" s="1164"/>
      <c r="AC128" s="1164"/>
      <c r="AD128" s="1164"/>
      <c r="AE128" s="1164"/>
      <c r="AF128" s="1164"/>
      <c r="AG128" s="1636"/>
      <c r="AH128" s="570"/>
      <c r="AI128" s="570"/>
      <c r="AJ128" s="570"/>
      <c r="AK128" s="570"/>
      <c r="AL128" s="1645">
        <v>11</v>
      </c>
    </row>
    <row s="1645" customFormat="1" customHeight="1" ht="11.549999999999999">
      <c r="A129" s="991"/>
      <c r="B129" s="1640"/>
      <c r="C129" s="1640"/>
      <c r="D129" s="355"/>
      <c r="J129" s="1645"/>
      <c r="K129" s="1645"/>
      <c r="L129" s="1645"/>
      <c r="M129" s="1645"/>
      <c r="N129" s="1645"/>
      <c r="O129" s="1645"/>
      <c r="Q129" s="1164"/>
      <c r="R129" s="1640"/>
      <c r="S129" s="1640"/>
      <c r="T129" s="1164"/>
      <c r="U129" s="1164"/>
      <c r="V129" s="1164"/>
      <c r="W129" s="1164"/>
      <c r="X129" s="1640"/>
      <c r="Y129" s="1164"/>
      <c r="Z129" s="1164"/>
      <c r="AA129" s="548"/>
      <c r="AB129" s="1164"/>
      <c r="AC129" s="1164"/>
      <c r="AD129" s="1164"/>
      <c r="AE129" s="1164"/>
      <c r="AF129" s="1164"/>
      <c r="AG129" s="1636"/>
      <c r="AH129" s="570"/>
      <c r="AI129" s="570"/>
      <c r="AJ129" s="570"/>
      <c r="AK129" s="570"/>
      <c r="AL129" s="1645">
        <v>11</v>
      </c>
    </row>
    <row s="1645" customFormat="1" customHeight="1" ht="11.549999999999999">
      <c r="A130" s="991"/>
      <c r="B130" s="1640"/>
      <c r="C130" s="1640"/>
      <c r="D130" s="355"/>
      <c r="J130" s="1645"/>
      <c r="K130" s="1645"/>
      <c r="L130" s="1645"/>
      <c r="M130" s="1645"/>
      <c r="N130" s="1645"/>
      <c r="O130" s="1645"/>
      <c r="Q130" s="1164"/>
      <c r="R130" s="1640"/>
      <c r="S130" s="1640"/>
      <c r="T130" s="1164"/>
      <c r="U130" s="1164"/>
      <c r="V130" s="1164"/>
      <c r="W130" s="1164"/>
      <c r="X130" s="1640"/>
      <c r="Y130" s="1164"/>
      <c r="Z130" s="1164"/>
      <c r="AA130" s="548"/>
      <c r="AB130" s="1164"/>
      <c r="AC130" s="1164"/>
      <c r="AD130" s="1164"/>
      <c r="AE130" s="1164"/>
      <c r="AF130" s="1164"/>
      <c r="AG130" s="1636"/>
      <c r="AH130" s="570"/>
      <c r="AI130" s="570"/>
      <c r="AJ130" s="570"/>
      <c r="AK130" s="570"/>
      <c r="AL130" s="1645">
        <v>11</v>
      </c>
    </row>
    <row s="1645" customFormat="1" customHeight="1" ht="11.549999999999999">
      <c r="A131" s="991"/>
      <c r="B131" s="1640"/>
      <c r="C131" s="1640"/>
      <c r="D131" s="355"/>
      <c r="J131" s="1645"/>
      <c r="K131" s="1645"/>
      <c r="L131" s="1645"/>
      <c r="M131" s="1645"/>
      <c r="N131" s="1645"/>
      <c r="O131" s="1645"/>
      <c r="Q131" s="1164"/>
      <c r="R131" s="1640"/>
      <c r="S131" s="1640"/>
      <c r="T131" s="1164"/>
      <c r="U131" s="1164"/>
      <c r="V131" s="1164"/>
      <c r="W131" s="1164"/>
      <c r="X131" s="1640"/>
      <c r="Y131" s="1164"/>
      <c r="Z131" s="1164"/>
      <c r="AA131" s="548"/>
      <c r="AB131" s="1164"/>
      <c r="AC131" s="1164"/>
      <c r="AD131" s="1164"/>
      <c r="AE131" s="1164"/>
      <c r="AF131" s="1164"/>
      <c r="AG131" s="1636"/>
      <c r="AH131" s="570"/>
      <c r="AI131" s="570"/>
      <c r="AJ131" s="570"/>
      <c r="AK131" s="570"/>
      <c r="AL131" s="1645">
        <v>11</v>
      </c>
    </row>
    <row s="1645" customFormat="1" customHeight="1" ht="11.549999999999999">
      <c r="A132" s="991"/>
      <c r="B132" s="1640"/>
      <c r="C132" s="1640"/>
      <c r="D132" s="355"/>
      <c r="J132" s="1645"/>
      <c r="K132" s="1645"/>
      <c r="L132" s="1645"/>
      <c r="M132" s="1645"/>
      <c r="N132" s="1645"/>
      <c r="O132" s="1645"/>
      <c r="Q132" s="1164"/>
      <c r="R132" s="1640"/>
      <c r="S132" s="1640"/>
      <c r="T132" s="1164"/>
      <c r="U132" s="1164"/>
      <c r="V132" s="1164"/>
      <c r="W132" s="1164"/>
      <c r="X132" s="1640"/>
      <c r="Y132" s="1164"/>
      <c r="Z132" s="1164"/>
      <c r="AA132" s="548"/>
      <c r="AB132" s="1164"/>
      <c r="AC132" s="1164"/>
      <c r="AD132" s="1164"/>
      <c r="AE132" s="1164"/>
      <c r="AF132" s="1164"/>
      <c r="AG132" s="1636"/>
      <c r="AH132" s="570"/>
      <c r="AI132" s="570"/>
      <c r="AJ132" s="570"/>
      <c r="AK132" s="570"/>
      <c r="AL132" s="1645">
        <v>11</v>
      </c>
    </row>
    <row s="1645" customFormat="1" customHeight="1" ht="11.549999999999999">
      <c r="A133" s="991"/>
      <c r="B133" s="1640"/>
      <c r="C133" s="1640"/>
      <c r="D133" s="355"/>
      <c r="J133" s="1645"/>
      <c r="K133" s="1645"/>
      <c r="L133" s="1645"/>
      <c r="M133" s="1645"/>
      <c r="N133" s="1645"/>
      <c r="O133" s="1645"/>
      <c r="Q133" s="1164"/>
      <c r="R133" s="1640"/>
      <c r="S133" s="1640"/>
      <c r="T133" s="1164"/>
      <c r="U133" s="1164"/>
      <c r="V133" s="1164"/>
      <c r="W133" s="1164"/>
      <c r="X133" s="1640"/>
      <c r="Y133" s="1164"/>
      <c r="Z133" s="1164"/>
      <c r="AA133" s="548"/>
      <c r="AB133" s="1164"/>
      <c r="AC133" s="1164"/>
      <c r="AD133" s="1164"/>
      <c r="AE133" s="1164"/>
      <c r="AF133" s="1164"/>
      <c r="AG133" s="1636"/>
      <c r="AH133" s="570"/>
      <c r="AI133" s="570"/>
      <c r="AJ133" s="570"/>
      <c r="AK133" s="570"/>
      <c r="AL133" s="1645">
        <v>11</v>
      </c>
    </row>
    <row s="1645" customFormat="1" customHeight="1" ht="11.549999999999999">
      <c r="A134" s="991"/>
      <c r="B134" s="1640"/>
      <c r="C134" s="1640"/>
      <c r="D134" s="355"/>
      <c r="J134" s="1645"/>
      <c r="K134" s="1645"/>
      <c r="L134" s="1645"/>
      <c r="M134" s="1645"/>
      <c r="N134" s="1645"/>
      <c r="O134" s="1645"/>
      <c r="Q134" s="1164"/>
      <c r="R134" s="1640"/>
      <c r="S134" s="1640"/>
      <c r="T134" s="1164"/>
      <c r="U134" s="1164"/>
      <c r="V134" s="1164"/>
      <c r="W134" s="1164"/>
      <c r="X134" s="1640"/>
      <c r="Y134" s="1164"/>
      <c r="Z134" s="1164"/>
      <c r="AA134" s="548"/>
      <c r="AB134" s="1164"/>
      <c r="AC134" s="1164"/>
      <c r="AD134" s="1164"/>
      <c r="AE134" s="1164"/>
      <c r="AF134" s="1164"/>
      <c r="AG134" s="1636"/>
      <c r="AH134" s="570"/>
      <c r="AI134" s="570"/>
      <c r="AJ134" s="570"/>
      <c r="AK134" s="570"/>
      <c r="AL134" s="1645">
        <v>11</v>
      </c>
    </row>
    <row s="1645" customFormat="1" customHeight="1" ht="11.549999999999999">
      <c r="A135" s="991"/>
      <c r="B135" s="1640"/>
      <c r="C135" s="1640"/>
      <c r="D135" s="355"/>
      <c r="J135" s="1645"/>
      <c r="K135" s="1645"/>
      <c r="L135" s="1645"/>
      <c r="M135" s="1645"/>
      <c r="N135" s="1645"/>
      <c r="O135" s="1645"/>
      <c r="Q135" s="1164"/>
      <c r="R135" s="1640"/>
      <c r="S135" s="1640"/>
      <c r="T135" s="1164"/>
      <c r="U135" s="1164"/>
      <c r="V135" s="1164"/>
      <c r="W135" s="1164"/>
      <c r="X135" s="1640"/>
      <c r="Y135" s="1164"/>
      <c r="Z135" s="1164"/>
      <c r="AA135" s="548"/>
      <c r="AB135" s="1164"/>
      <c r="AC135" s="1164"/>
      <c r="AD135" s="1164"/>
      <c r="AE135" s="1164"/>
      <c r="AF135" s="1164"/>
      <c r="AG135" s="1636"/>
      <c r="AH135" s="570"/>
      <c r="AI135" s="570"/>
      <c r="AJ135" s="570"/>
      <c r="AK135" s="570"/>
      <c r="AL135" s="1645">
        <v>11</v>
      </c>
    </row>
    <row s="1645" customFormat="1" customHeight="1" ht="11.549999999999999">
      <c r="A136" s="991"/>
      <c r="B136" s="1640"/>
      <c r="C136" s="1640"/>
      <c r="D136" s="355"/>
      <c r="J136" s="1645"/>
      <c r="K136" s="1645"/>
      <c r="L136" s="1645"/>
      <c r="M136" s="1645"/>
      <c r="N136" s="1645"/>
      <c r="O136" s="1645"/>
      <c r="Q136" s="1164"/>
      <c r="R136" s="1640"/>
      <c r="S136" s="1640"/>
      <c r="T136" s="1164"/>
      <c r="U136" s="1164"/>
      <c r="V136" s="1164"/>
      <c r="W136" s="1164"/>
      <c r="X136" s="1640"/>
      <c r="Y136" s="1164"/>
      <c r="Z136" s="1164"/>
      <c r="AA136" s="548"/>
      <c r="AB136" s="1164"/>
      <c r="AC136" s="1164"/>
      <c r="AD136" s="1164"/>
      <c r="AE136" s="1164"/>
      <c r="AF136" s="1164"/>
      <c r="AG136" s="1636"/>
      <c r="AH136" s="570"/>
      <c r="AI136" s="570"/>
      <c r="AJ136" s="570"/>
      <c r="AK136" s="570"/>
      <c r="AL136" s="1645">
        <v>11</v>
      </c>
    </row>
    <row s="1645" customFormat="1" customHeight="1" ht="11.549999999999999">
      <c r="A137" s="991"/>
      <c r="B137" s="1640"/>
      <c r="C137" s="1640"/>
      <c r="D137" s="355"/>
      <c r="J137" s="1645"/>
      <c r="K137" s="1645"/>
      <c r="L137" s="1645"/>
      <c r="M137" s="1645"/>
      <c r="N137" s="1645"/>
      <c r="O137" s="1645"/>
      <c r="Q137" s="1164"/>
      <c r="R137" s="1640"/>
      <c r="S137" s="1640"/>
      <c r="T137" s="1164"/>
      <c r="U137" s="1164"/>
      <c r="V137" s="1164"/>
      <c r="W137" s="1164"/>
      <c r="X137" s="1640"/>
      <c r="Y137" s="1164"/>
      <c r="Z137" s="1164"/>
      <c r="AA137" s="548"/>
      <c r="AB137" s="1164"/>
      <c r="AC137" s="1164"/>
      <c r="AD137" s="1164"/>
      <c r="AE137" s="1164"/>
      <c r="AF137" s="1164"/>
      <c r="AG137" s="1636"/>
      <c r="AH137" s="570"/>
      <c r="AI137" s="570"/>
      <c r="AJ137" s="570"/>
      <c r="AK137" s="570"/>
      <c r="AL137" s="1645">
        <v>11</v>
      </c>
    </row>
    <row s="1645" customFormat="1" customHeight="1" ht="11.549999999999999">
      <c r="A138" s="991"/>
      <c r="B138" s="1640"/>
      <c r="C138" s="1640"/>
      <c r="D138" s="355"/>
      <c r="J138" s="1645"/>
      <c r="K138" s="1645"/>
      <c r="L138" s="1645"/>
      <c r="M138" s="1645"/>
      <c r="N138" s="1645"/>
      <c r="O138" s="1645"/>
      <c r="Q138" s="1164"/>
      <c r="R138" s="1640"/>
      <c r="S138" s="1640"/>
      <c r="T138" s="1164"/>
      <c r="U138" s="1164"/>
      <c r="V138" s="1164"/>
      <c r="W138" s="1164"/>
      <c r="X138" s="1640"/>
      <c r="Y138" s="1164"/>
      <c r="Z138" s="1164"/>
      <c r="AA138" s="548"/>
      <c r="AB138" s="1164"/>
      <c r="AC138" s="1164"/>
      <c r="AD138" s="1164"/>
      <c r="AE138" s="1164"/>
      <c r="AF138" s="1164"/>
      <c r="AG138" s="1636"/>
      <c r="AH138" s="570"/>
      <c r="AI138" s="570"/>
      <c r="AJ138" s="570"/>
      <c r="AK138" s="570"/>
      <c r="AL138" s="1645">
        <v>11</v>
      </c>
    </row>
    <row s="1645" customFormat="1" customHeight="1" ht="11.549999999999999">
      <c r="A139" s="991"/>
      <c r="B139" s="1640"/>
      <c r="C139" s="1640"/>
      <c r="D139" s="355"/>
      <c r="J139" s="1645"/>
      <c r="K139" s="1645"/>
      <c r="L139" s="1645"/>
      <c r="M139" s="1645"/>
      <c r="N139" s="1645"/>
      <c r="O139" s="1645"/>
      <c r="Q139" s="1164"/>
      <c r="R139" s="1640"/>
      <c r="S139" s="1640"/>
      <c r="T139" s="1164"/>
      <c r="U139" s="1164"/>
      <c r="V139" s="1164"/>
      <c r="W139" s="1164"/>
      <c r="X139" s="1640"/>
      <c r="Y139" s="1164"/>
      <c r="Z139" s="1164"/>
      <c r="AA139" s="548"/>
      <c r="AB139" s="1164"/>
      <c r="AC139" s="1164"/>
      <c r="AD139" s="1164"/>
      <c r="AE139" s="1164"/>
      <c r="AF139" s="1164"/>
      <c r="AG139" s="1636"/>
      <c r="AH139" s="570"/>
      <c r="AI139" s="570"/>
      <c r="AJ139" s="570"/>
      <c r="AK139" s="570"/>
      <c r="AL139" s="1645">
        <v>11</v>
      </c>
    </row>
    <row s="1645" customFormat="1" customHeight="1" ht="11.549999999999999">
      <c r="A140" s="991"/>
      <c r="B140" s="1640"/>
      <c r="C140" s="1640"/>
      <c r="D140" s="355"/>
      <c r="J140" s="1645"/>
      <c r="K140" s="1645"/>
      <c r="L140" s="1645"/>
      <c r="M140" s="1645"/>
      <c r="N140" s="1645"/>
      <c r="O140" s="1645"/>
      <c r="Q140" s="1164"/>
      <c r="R140" s="1640"/>
      <c r="S140" s="1640"/>
      <c r="T140" s="1164"/>
      <c r="U140" s="1164"/>
      <c r="V140" s="1164"/>
      <c r="W140" s="1164"/>
      <c r="X140" s="1640"/>
      <c r="Y140" s="1164"/>
      <c r="Z140" s="1164"/>
      <c r="AA140" s="548"/>
      <c r="AB140" s="1164"/>
      <c r="AC140" s="1164"/>
      <c r="AD140" s="1164"/>
      <c r="AE140" s="1164"/>
      <c r="AF140" s="1164"/>
      <c r="AG140" s="1636"/>
      <c r="AH140" s="570"/>
      <c r="AI140" s="570"/>
      <c r="AJ140" s="570"/>
      <c r="AK140" s="570"/>
      <c r="AL140" s="1645">
        <v>11</v>
      </c>
    </row>
    <row s="1645" customFormat="1" customHeight="1" ht="11.549999999999999">
      <c r="A141" s="991"/>
      <c r="B141" s="1640"/>
      <c r="C141" s="1640"/>
      <c r="D141" s="355"/>
      <c r="J141" s="1645"/>
      <c r="K141" s="1645"/>
      <c r="L141" s="1645"/>
      <c r="M141" s="1645"/>
      <c r="N141" s="1645"/>
      <c r="O141" s="1645"/>
      <c r="Q141" s="1164"/>
      <c r="R141" s="1640"/>
      <c r="S141" s="1640"/>
      <c r="T141" s="1164"/>
      <c r="U141" s="1164"/>
      <c r="V141" s="1164"/>
      <c r="W141" s="1164"/>
      <c r="X141" s="1640"/>
      <c r="Y141" s="1164"/>
      <c r="Z141" s="1164"/>
      <c r="AA141" s="548"/>
      <c r="AB141" s="1164"/>
      <c r="AC141" s="1164"/>
      <c r="AD141" s="1164"/>
      <c r="AE141" s="1164"/>
      <c r="AF141" s="1164"/>
      <c r="AG141" s="1636"/>
      <c r="AH141" s="570"/>
      <c r="AI141" s="570"/>
      <c r="AJ141" s="570"/>
      <c r="AK141" s="570"/>
      <c r="AL141" s="1645">
        <v>11</v>
      </c>
    </row>
    <row s="1645" customFormat="1" customHeight="1" ht="11.549999999999999">
      <c r="A142" s="991"/>
      <c r="B142" s="1640"/>
      <c r="C142" s="1640"/>
      <c r="D142" s="355"/>
      <c r="J142" s="1645"/>
      <c r="K142" s="1645"/>
      <c r="L142" s="1645"/>
      <c r="M142" s="1645"/>
      <c r="N142" s="1645"/>
      <c r="O142" s="1645"/>
      <c r="Q142" s="1164"/>
      <c r="R142" s="1640"/>
      <c r="S142" s="1640"/>
      <c r="T142" s="1164"/>
      <c r="U142" s="1164"/>
      <c r="V142" s="1164"/>
      <c r="W142" s="1164"/>
      <c r="X142" s="1640"/>
      <c r="Y142" s="1164"/>
      <c r="Z142" s="1164"/>
      <c r="AA142" s="548"/>
      <c r="AB142" s="1164"/>
      <c r="AC142" s="1164"/>
      <c r="AD142" s="1164"/>
      <c r="AE142" s="1164"/>
      <c r="AF142" s="1164"/>
      <c r="AG142" s="1636"/>
      <c r="AH142" s="570"/>
      <c r="AI142" s="570"/>
      <c r="AJ142" s="570"/>
      <c r="AK142" s="570"/>
      <c r="AL142" s="1645">
        <v>11</v>
      </c>
    </row>
    <row s="1645" customFormat="1" customHeight="1" ht="11.549999999999999">
      <c r="A143" s="991"/>
      <c r="B143" s="1640"/>
      <c r="C143" s="1640"/>
      <c r="D143" s="355"/>
      <c r="J143" s="1645"/>
      <c r="K143" s="1645"/>
      <c r="L143" s="1645"/>
      <c r="M143" s="1645"/>
      <c r="N143" s="1645"/>
      <c r="O143" s="1645"/>
      <c r="Q143" s="1164"/>
      <c r="R143" s="1640"/>
      <c r="S143" s="1640"/>
      <c r="T143" s="1164"/>
      <c r="U143" s="1164"/>
      <c r="V143" s="1164"/>
      <c r="W143" s="1164"/>
      <c r="X143" s="1640"/>
      <c r="Y143" s="1164"/>
      <c r="Z143" s="1164"/>
      <c r="AA143" s="548"/>
      <c r="AB143" s="1164"/>
      <c r="AC143" s="1164"/>
      <c r="AD143" s="1164"/>
      <c r="AE143" s="1164"/>
      <c r="AF143" s="1164"/>
      <c r="AG143" s="1636"/>
      <c r="AH143" s="570"/>
      <c r="AI143" s="570"/>
      <c r="AJ143" s="570"/>
      <c r="AK143" s="570"/>
      <c r="AL143" s="1645">
        <v>11</v>
      </c>
    </row>
    <row s="1645" customFormat="1" customHeight="1" ht="11.549999999999999">
      <c r="A144" s="991"/>
      <c r="B144" s="1640"/>
      <c r="C144" s="1640"/>
      <c r="D144" s="355"/>
      <c r="J144" s="1645"/>
      <c r="K144" s="1645"/>
      <c r="L144" s="1645"/>
      <c r="M144" s="1645"/>
      <c r="N144" s="1645"/>
      <c r="O144" s="1645"/>
      <c r="Q144" s="1164"/>
      <c r="R144" s="1640"/>
      <c r="S144" s="1640"/>
      <c r="T144" s="1164"/>
      <c r="U144" s="1164"/>
      <c r="V144" s="1164"/>
      <c r="W144" s="1164"/>
      <c r="X144" s="1640"/>
      <c r="Y144" s="1164"/>
      <c r="Z144" s="1164"/>
      <c r="AA144" s="548"/>
      <c r="AB144" s="1164"/>
      <c r="AC144" s="1164"/>
      <c r="AD144" s="1164"/>
      <c r="AE144" s="1164"/>
      <c r="AF144" s="1164"/>
      <c r="AG144" s="1636"/>
      <c r="AH144" s="570"/>
      <c r="AI144" s="570"/>
      <c r="AJ144" s="570"/>
      <c r="AK144" s="570"/>
      <c r="AL144" s="1645">
        <v>11</v>
      </c>
    </row>
    <row s="1645" customFormat="1" customHeight="1" ht="11.549999999999999">
      <c r="A145" s="991"/>
      <c r="B145" s="1640"/>
      <c r="C145" s="1640"/>
      <c r="D145" s="355"/>
      <c r="J145" s="1645"/>
      <c r="K145" s="1645"/>
      <c r="L145" s="1645"/>
      <c r="M145" s="1645"/>
      <c r="N145" s="1645"/>
      <c r="O145" s="1645"/>
      <c r="Q145" s="1164"/>
      <c r="R145" s="1640"/>
      <c r="S145" s="1640"/>
      <c r="T145" s="1164"/>
      <c r="U145" s="1164"/>
      <c r="V145" s="1164"/>
      <c r="W145" s="1164"/>
      <c r="X145" s="1640"/>
      <c r="Y145" s="1164"/>
      <c r="Z145" s="1164"/>
      <c r="AA145" s="548"/>
      <c r="AB145" s="1164"/>
      <c r="AC145" s="1164"/>
      <c r="AD145" s="1164"/>
      <c r="AE145" s="1164"/>
      <c r="AF145" s="1164"/>
      <c r="AG145" s="1636"/>
      <c r="AH145" s="570"/>
      <c r="AI145" s="570"/>
      <c r="AJ145" s="570"/>
      <c r="AK145" s="570"/>
      <c r="AL145" s="1645">
        <v>11</v>
      </c>
    </row>
    <row s="1645" customFormat="1" customHeight="1" ht="11.549999999999999">
      <c r="A146" s="991"/>
      <c r="B146" s="1640"/>
      <c r="C146" s="1640"/>
      <c r="D146" s="355"/>
      <c r="J146" s="1645"/>
      <c r="K146" s="1645"/>
      <c r="L146" s="1645"/>
      <c r="M146" s="1645"/>
      <c r="N146" s="1645"/>
      <c r="O146" s="1645"/>
      <c r="Q146" s="1164"/>
      <c r="R146" s="1640"/>
      <c r="S146" s="1640"/>
      <c r="T146" s="1164"/>
      <c r="U146" s="1164"/>
      <c r="V146" s="1164"/>
      <c r="W146" s="1164"/>
      <c r="X146" s="1640"/>
      <c r="Y146" s="1164"/>
      <c r="Z146" s="1164"/>
      <c r="AA146" s="548"/>
      <c r="AB146" s="1164"/>
      <c r="AC146" s="1164"/>
      <c r="AD146" s="1164"/>
      <c r="AE146" s="1164"/>
      <c r="AF146" s="1164"/>
      <c r="AG146" s="1636"/>
      <c r="AH146" s="570"/>
      <c r="AI146" s="570"/>
      <c r="AJ146" s="570"/>
      <c r="AK146" s="570"/>
      <c r="AL146" s="1645">
        <v>11</v>
      </c>
    </row>
    <row s="1645" customFormat="1" customHeight="1" ht="11.549999999999999">
      <c r="A147" s="991"/>
      <c r="B147" s="1640"/>
      <c r="C147" s="1640"/>
      <c r="D147" s="355"/>
      <c r="J147" s="1645"/>
      <c r="K147" s="1645"/>
      <c r="L147" s="1645"/>
      <c r="M147" s="1645"/>
      <c r="N147" s="1645"/>
      <c r="O147" s="1645"/>
      <c r="Q147" s="1164"/>
      <c r="R147" s="1640"/>
      <c r="S147" s="1640"/>
      <c r="T147" s="1164"/>
      <c r="U147" s="1164"/>
      <c r="V147" s="1164"/>
      <c r="W147" s="1164"/>
      <c r="X147" s="1640"/>
      <c r="Y147" s="1164"/>
      <c r="Z147" s="1164"/>
      <c r="AA147" s="548"/>
      <c r="AB147" s="1164"/>
      <c r="AC147" s="1164"/>
      <c r="AD147" s="1164"/>
      <c r="AE147" s="1164"/>
      <c r="AF147" s="1164"/>
      <c r="AG147" s="1636"/>
      <c r="AH147" s="570"/>
      <c r="AI147" s="570"/>
      <c r="AJ147" s="570"/>
      <c r="AK147" s="570"/>
      <c r="AL147" s="1645">
        <v>11</v>
      </c>
    </row>
    <row s="1645" customFormat="1" customHeight="1" ht="11.549999999999999">
      <c r="A148" s="991"/>
      <c r="B148" s="1640"/>
      <c r="C148" s="1640"/>
      <c r="D148" s="355"/>
      <c r="J148" s="1645"/>
      <c r="K148" s="1645"/>
      <c r="L148" s="1645"/>
      <c r="M148" s="1645"/>
      <c r="N148" s="1645"/>
      <c r="O148" s="1645"/>
      <c r="Q148" s="1164"/>
      <c r="R148" s="1640"/>
      <c r="S148" s="1640"/>
      <c r="T148" s="1164"/>
      <c r="U148" s="1164"/>
      <c r="V148" s="1164"/>
      <c r="W148" s="1164"/>
      <c r="X148" s="1640"/>
      <c r="Y148" s="1164"/>
      <c r="Z148" s="1164"/>
      <c r="AA148" s="548"/>
      <c r="AB148" s="1164"/>
      <c r="AC148" s="1164"/>
      <c r="AD148" s="1164"/>
      <c r="AE148" s="1164"/>
      <c r="AF148" s="1164"/>
      <c r="AG148" s="1636"/>
      <c r="AH148" s="570"/>
      <c r="AI148" s="570"/>
      <c r="AJ148" s="570"/>
      <c r="AK148" s="570"/>
      <c r="AL148" s="1645">
        <v>11</v>
      </c>
    </row>
    <row s="1645" customFormat="1" customHeight="1" ht="11.549999999999999">
      <c r="A149" s="991"/>
      <c r="B149" s="1640"/>
      <c r="C149" s="1640"/>
      <c r="D149" s="355"/>
      <c r="J149" s="1645"/>
      <c r="K149" s="1645"/>
      <c r="L149" s="1645"/>
      <c r="M149" s="1645"/>
      <c r="N149" s="1645"/>
      <c r="O149" s="1645"/>
      <c r="Q149" s="1164"/>
      <c r="R149" s="1640"/>
      <c r="S149" s="1640"/>
      <c r="T149" s="1164"/>
      <c r="U149" s="1164"/>
      <c r="V149" s="1164"/>
      <c r="W149" s="1164"/>
      <c r="X149" s="1640"/>
      <c r="Y149" s="1164"/>
      <c r="Z149" s="1164"/>
      <c r="AA149" s="548"/>
      <c r="AB149" s="1164"/>
      <c r="AC149" s="1164"/>
      <c r="AD149" s="1164"/>
      <c r="AE149" s="1164"/>
      <c r="AF149" s="1164"/>
      <c r="AG149" s="1636"/>
      <c r="AH149" s="570"/>
      <c r="AI149" s="570"/>
      <c r="AJ149" s="570"/>
      <c r="AK149" s="570"/>
      <c r="AL149" s="1645">
        <v>11</v>
      </c>
    </row>
    <row s="1645" customFormat="1" customHeight="1" ht="11.549999999999999">
      <c r="A150" s="991"/>
      <c r="B150" s="1640"/>
      <c r="C150" s="1640"/>
      <c r="D150" s="355"/>
      <c r="J150" s="1645"/>
      <c r="K150" s="1645"/>
      <c r="L150" s="1645"/>
      <c r="M150" s="1645"/>
      <c r="N150" s="1645"/>
      <c r="O150" s="1645"/>
      <c r="Q150" s="1164"/>
      <c r="R150" s="1640"/>
      <c r="S150" s="1640"/>
      <c r="T150" s="1164"/>
      <c r="U150" s="1164"/>
      <c r="V150" s="1164"/>
      <c r="W150" s="1164"/>
      <c r="X150" s="1640"/>
      <c r="Y150" s="1164"/>
      <c r="Z150" s="1164"/>
      <c r="AA150" s="548"/>
      <c r="AB150" s="1164"/>
      <c r="AC150" s="1164"/>
      <c r="AD150" s="1164"/>
      <c r="AE150" s="1164"/>
      <c r="AF150" s="1164"/>
      <c r="AG150" s="1636"/>
      <c r="AH150" s="570"/>
      <c r="AI150" s="570"/>
      <c r="AJ150" s="570"/>
      <c r="AK150" s="570"/>
      <c r="AL150" s="1645">
        <v>11</v>
      </c>
    </row>
    <row s="1645" customFormat="1" customHeight="1" ht="11.549999999999999">
      <c r="A151" s="991"/>
      <c r="B151" s="1640"/>
      <c r="C151" s="1640"/>
      <c r="D151" s="355"/>
      <c r="J151" s="1645"/>
      <c r="K151" s="1645"/>
      <c r="L151" s="1645"/>
      <c r="M151" s="1645"/>
      <c r="N151" s="1645"/>
      <c r="O151" s="1645"/>
      <c r="Q151" s="1164"/>
      <c r="R151" s="1640"/>
      <c r="S151" s="1640"/>
      <c r="T151" s="1164"/>
      <c r="U151" s="1164"/>
      <c r="V151" s="1164"/>
      <c r="W151" s="1164"/>
      <c r="X151" s="1640"/>
      <c r="Y151" s="1164"/>
      <c r="Z151" s="1164"/>
      <c r="AA151" s="548"/>
      <c r="AB151" s="1164"/>
      <c r="AC151" s="1164"/>
      <c r="AD151" s="1164"/>
      <c r="AE151" s="1164"/>
      <c r="AF151" s="1164"/>
      <c r="AG151" s="1636"/>
      <c r="AH151" s="570"/>
      <c r="AI151" s="570"/>
      <c r="AJ151" s="570"/>
      <c r="AK151" s="570"/>
      <c r="AL151" s="1645">
        <v>11</v>
      </c>
    </row>
    <row s="1645" customFormat="1" customHeight="1" ht="11.549999999999999">
      <c r="A152" s="991"/>
      <c r="B152" s="1640"/>
      <c r="C152" s="1640"/>
      <c r="D152" s="355"/>
      <c r="J152" s="1645"/>
      <c r="K152" s="1645"/>
      <c r="L152" s="1645"/>
      <c r="M152" s="1645"/>
      <c r="N152" s="1645"/>
      <c r="O152" s="1645"/>
      <c r="Q152" s="1164"/>
      <c r="R152" s="1640"/>
      <c r="S152" s="1640"/>
      <c r="T152" s="1164"/>
      <c r="U152" s="1164"/>
      <c r="V152" s="1164"/>
      <c r="W152" s="1164"/>
      <c r="X152" s="1640"/>
      <c r="Y152" s="1164"/>
      <c r="Z152" s="1164"/>
      <c r="AA152" s="548"/>
      <c r="AB152" s="1164"/>
      <c r="AC152" s="1164"/>
      <c r="AD152" s="1164"/>
      <c r="AE152" s="1164"/>
      <c r="AF152" s="1164"/>
      <c r="AG152" s="1636"/>
      <c r="AH152" s="570"/>
      <c r="AI152" s="570"/>
      <c r="AJ152" s="570"/>
      <c r="AK152" s="570"/>
      <c r="AL152" s="1645">
        <v>11</v>
      </c>
    </row>
    <row s="1645" customFormat="1" customHeight="1" ht="11.549999999999999">
      <c r="A153" s="991"/>
      <c r="B153" s="1640"/>
      <c r="C153" s="1640"/>
      <c r="D153" s="355"/>
      <c r="J153" s="1645"/>
      <c r="K153" s="1645"/>
      <c r="L153" s="1645"/>
      <c r="M153" s="1645"/>
      <c r="N153" s="1645"/>
      <c r="O153" s="1645"/>
      <c r="Q153" s="1164"/>
      <c r="R153" s="1640"/>
      <c r="S153" s="1640"/>
      <c r="T153" s="1164"/>
      <c r="U153" s="1164"/>
      <c r="V153" s="1164"/>
      <c r="W153" s="1164"/>
      <c r="X153" s="1640"/>
      <c r="Y153" s="1164"/>
      <c r="Z153" s="1164"/>
      <c r="AA153" s="548"/>
      <c r="AB153" s="1164"/>
      <c r="AC153" s="1164"/>
      <c r="AD153" s="1164"/>
      <c r="AE153" s="1164"/>
      <c r="AF153" s="1164"/>
      <c r="AG153" s="1636"/>
      <c r="AH153" s="570"/>
      <c r="AI153" s="570"/>
      <c r="AJ153" s="570"/>
      <c r="AK153" s="570"/>
      <c r="AL153" s="1645">
        <v>11</v>
      </c>
    </row>
    <row s="1645" customFormat="1" customHeight="1" ht="11.549999999999999">
      <c r="A154" s="991"/>
      <c r="B154" s="1640"/>
      <c r="C154" s="1640"/>
      <c r="D154" s="355"/>
      <c r="J154" s="1645"/>
      <c r="K154" s="1645"/>
      <c r="L154" s="1645"/>
      <c r="M154" s="1645"/>
      <c r="N154" s="1645"/>
      <c r="O154" s="1645"/>
      <c r="Q154" s="1164"/>
      <c r="R154" s="1640"/>
      <c r="S154" s="1640"/>
      <c r="T154" s="1164"/>
      <c r="U154" s="1164"/>
      <c r="V154" s="1164"/>
      <c r="W154" s="1164"/>
      <c r="X154" s="1640"/>
      <c r="Y154" s="1164"/>
      <c r="Z154" s="1164"/>
      <c r="AA154" s="548"/>
      <c r="AB154" s="1164"/>
      <c r="AC154" s="1164"/>
      <c r="AD154" s="1164"/>
      <c r="AE154" s="1164"/>
      <c r="AF154" s="1164"/>
      <c r="AG154" s="1636"/>
      <c r="AH154" s="570"/>
      <c r="AI154" s="570"/>
      <c r="AJ154" s="570"/>
      <c r="AK154" s="570"/>
      <c r="AL154" s="1645">
        <v>11</v>
      </c>
    </row>
    <row s="1645" customFormat="1" customHeight="1" ht="11.549999999999999">
      <c r="A155" s="991"/>
      <c r="B155" s="1640"/>
      <c r="C155" s="1640"/>
      <c r="D155" s="355"/>
      <c r="J155" s="1645"/>
      <c r="K155" s="1645"/>
      <c r="L155" s="1645"/>
      <c r="M155" s="1645"/>
      <c r="N155" s="1645"/>
      <c r="O155" s="1645"/>
      <c r="Q155" s="1164"/>
      <c r="R155" s="1640"/>
      <c r="S155" s="1640"/>
      <c r="T155" s="1164"/>
      <c r="U155" s="1164"/>
      <c r="V155" s="1164"/>
      <c r="W155" s="1164"/>
      <c r="X155" s="1640"/>
      <c r="Y155" s="1164"/>
      <c r="Z155" s="1164"/>
      <c r="AA155" s="548"/>
      <c r="AB155" s="1164"/>
      <c r="AC155" s="1164"/>
      <c r="AD155" s="1164"/>
      <c r="AE155" s="1164"/>
      <c r="AF155" s="1164"/>
      <c r="AG155" s="1636"/>
      <c r="AH155" s="570"/>
      <c r="AI155" s="570"/>
      <c r="AJ155" s="570"/>
      <c r="AK155" s="570"/>
      <c r="AL155" s="1645">
        <v>11</v>
      </c>
    </row>
    <row s="1645" customFormat="1" customHeight="1" ht="11.549999999999999">
      <c r="A156" s="991"/>
      <c r="B156" s="1640"/>
      <c r="C156" s="1640"/>
      <c r="D156" s="355"/>
      <c r="J156" s="1645"/>
      <c r="K156" s="1645"/>
      <c r="L156" s="1645"/>
      <c r="M156" s="1645"/>
      <c r="N156" s="1645"/>
      <c r="O156" s="1645"/>
      <c r="Q156" s="1164"/>
      <c r="R156" s="1640"/>
      <c r="S156" s="1640"/>
      <c r="T156" s="1164"/>
      <c r="U156" s="1164"/>
      <c r="V156" s="1164"/>
      <c r="W156" s="1164"/>
      <c r="X156" s="1640"/>
      <c r="Y156" s="1164"/>
      <c r="Z156" s="1164"/>
      <c r="AA156" s="548"/>
      <c r="AB156" s="1164"/>
      <c r="AC156" s="1164"/>
      <c r="AD156" s="1164"/>
      <c r="AE156" s="1164"/>
      <c r="AF156" s="1164"/>
      <c r="AG156" s="1636"/>
      <c r="AH156" s="570"/>
      <c r="AI156" s="570"/>
      <c r="AJ156" s="570"/>
      <c r="AK156" s="570"/>
      <c r="AL156" s="1645">
        <v>11</v>
      </c>
    </row>
    <row s="1645" customFormat="1" customHeight="1" ht="11.549999999999999">
      <c r="A157" s="991"/>
      <c r="B157" s="1640"/>
      <c r="C157" s="1640"/>
      <c r="D157" s="355"/>
      <c r="J157" s="1645"/>
      <c r="K157" s="1645"/>
      <c r="L157" s="1645"/>
      <c r="M157" s="1645"/>
      <c r="N157" s="1645"/>
      <c r="O157" s="1645"/>
      <c r="Q157" s="1164"/>
      <c r="R157" s="1640"/>
      <c r="S157" s="1640"/>
      <c r="T157" s="1164"/>
      <c r="U157" s="1164"/>
      <c r="V157" s="1164"/>
      <c r="W157" s="1164"/>
      <c r="X157" s="1640"/>
      <c r="Y157" s="1164"/>
      <c r="Z157" s="1164"/>
      <c r="AA157" s="548"/>
      <c r="AB157" s="1164"/>
      <c r="AC157" s="1164"/>
      <c r="AD157" s="1164"/>
      <c r="AE157" s="1164"/>
      <c r="AF157" s="1164"/>
      <c r="AG157" s="1636"/>
      <c r="AH157" s="570"/>
      <c r="AI157" s="570"/>
      <c r="AJ157" s="570"/>
      <c r="AK157" s="570"/>
      <c r="AL157" s="1645">
        <v>11</v>
      </c>
    </row>
    <row s="1645" customFormat="1" customHeight="1" ht="11.549999999999999">
      <c r="A158" s="991"/>
      <c r="B158" s="1640"/>
      <c r="C158" s="1640"/>
      <c r="D158" s="355"/>
      <c r="J158" s="1645"/>
      <c r="K158" s="1645"/>
      <c r="L158" s="1645"/>
      <c r="M158" s="1645"/>
      <c r="N158" s="1645"/>
      <c r="O158" s="1645"/>
      <c r="Q158" s="1164"/>
      <c r="R158" s="1640"/>
      <c r="S158" s="1640"/>
      <c r="T158" s="1164"/>
      <c r="U158" s="1164"/>
      <c r="V158" s="1164"/>
      <c r="W158" s="1164"/>
      <c r="X158" s="1640"/>
      <c r="Y158" s="1164"/>
      <c r="Z158" s="1164"/>
      <c r="AA158" s="548"/>
      <c r="AB158" s="1164"/>
      <c r="AC158" s="1164"/>
      <c r="AD158" s="1164"/>
      <c r="AE158" s="1164"/>
      <c r="AF158" s="1164"/>
      <c r="AG158" s="1636"/>
      <c r="AH158" s="570"/>
      <c r="AI158" s="570"/>
      <c r="AJ158" s="570"/>
      <c r="AK158" s="570"/>
      <c r="AL158" s="1645">
        <v>11</v>
      </c>
    </row>
    <row s="1645" customFormat="1" customHeight="1" ht="11.549999999999999">
      <c r="A159" s="991"/>
      <c r="B159" s="1640"/>
      <c r="C159" s="1640"/>
      <c r="D159" s="355"/>
      <c r="J159" s="1645"/>
      <c r="K159" s="1645"/>
      <c r="L159" s="1645"/>
      <c r="M159" s="1645"/>
      <c r="N159" s="1645"/>
      <c r="O159" s="1645"/>
      <c r="Q159" s="1164"/>
      <c r="R159" s="1640"/>
      <c r="S159" s="1640"/>
      <c r="T159" s="1164"/>
      <c r="U159" s="1164"/>
      <c r="V159" s="1164"/>
      <c r="W159" s="1164"/>
      <c r="X159" s="1640"/>
      <c r="Y159" s="1164"/>
      <c r="Z159" s="1164"/>
      <c r="AA159" s="548"/>
      <c r="AB159" s="1164"/>
      <c r="AC159" s="1164"/>
      <c r="AD159" s="1164"/>
      <c r="AE159" s="1164"/>
      <c r="AF159" s="1164"/>
      <c r="AG159" s="1636"/>
      <c r="AH159" s="570"/>
      <c r="AI159" s="570"/>
      <c r="AJ159" s="570"/>
      <c r="AK159" s="570"/>
      <c r="AL159" s="1645">
        <v>11</v>
      </c>
    </row>
    <row s="1645" customFormat="1" customHeight="1" ht="11.549999999999999">
      <c r="A160" s="991"/>
      <c r="B160" s="1640"/>
      <c r="C160" s="1640"/>
      <c r="D160" s="355"/>
      <c r="J160" s="1645"/>
      <c r="K160" s="1645"/>
      <c r="L160" s="1645"/>
      <c r="M160" s="1645"/>
      <c r="N160" s="1645"/>
      <c r="O160" s="1645"/>
      <c r="Q160" s="1164"/>
      <c r="R160" s="1640"/>
      <c r="S160" s="1640"/>
      <c r="T160" s="1164"/>
      <c r="U160" s="1164"/>
      <c r="V160" s="1164"/>
      <c r="W160" s="1164"/>
      <c r="X160" s="1640"/>
      <c r="Y160" s="1164"/>
      <c r="Z160" s="1164"/>
      <c r="AA160" s="548"/>
      <c r="AB160" s="1164"/>
      <c r="AC160" s="1164"/>
      <c r="AD160" s="1164"/>
      <c r="AE160" s="1164"/>
      <c r="AF160" s="1164"/>
      <c r="AG160" s="1636"/>
      <c r="AH160" s="570"/>
      <c r="AI160" s="570"/>
      <c r="AJ160" s="570"/>
      <c r="AK160" s="570"/>
      <c r="AL160" s="1645">
        <v>11</v>
      </c>
    </row>
    <row s="1645" customFormat="1" customHeight="1" ht="11.549999999999999">
      <c r="A161" s="991"/>
      <c r="B161" s="1640"/>
      <c r="C161" s="1640"/>
      <c r="D161" s="355"/>
      <c r="J161" s="1645"/>
      <c r="K161" s="1645"/>
      <c r="L161" s="1645"/>
      <c r="M161" s="1645"/>
      <c r="N161" s="1645"/>
      <c r="O161" s="1645"/>
      <c r="Q161" s="1164"/>
      <c r="R161" s="1640"/>
      <c r="S161" s="1640"/>
      <c r="T161" s="1164"/>
      <c r="U161" s="1164"/>
      <c r="V161" s="1164"/>
      <c r="W161" s="1164"/>
      <c r="X161" s="1640"/>
      <c r="Y161" s="1164"/>
      <c r="Z161" s="1164"/>
      <c r="AA161" s="548"/>
      <c r="AB161" s="1164"/>
      <c r="AC161" s="1164"/>
      <c r="AD161" s="1164"/>
      <c r="AE161" s="1164"/>
      <c r="AF161" s="1164"/>
      <c r="AG161" s="1636"/>
      <c r="AH161" s="570"/>
      <c r="AI161" s="570"/>
      <c r="AJ161" s="570"/>
      <c r="AK161" s="570"/>
      <c r="AL161" s="1645">
        <v>11</v>
      </c>
    </row>
    <row s="1645" customFormat="1" customHeight="1" ht="11.549999999999999">
      <c r="A162" s="991"/>
      <c r="B162" s="1640"/>
      <c r="C162" s="1640"/>
      <c r="D162" s="355"/>
      <c r="J162" s="1645"/>
      <c r="K162" s="1645"/>
      <c r="L162" s="1645"/>
      <c r="M162" s="1645"/>
      <c r="N162" s="1645"/>
      <c r="O162" s="1645"/>
      <c r="Q162" s="1164"/>
      <c r="R162" s="1640"/>
      <c r="S162" s="1640"/>
      <c r="T162" s="1164"/>
      <c r="U162" s="1164"/>
      <c r="V162" s="1164"/>
      <c r="W162" s="1164"/>
      <c r="X162" s="1640"/>
      <c r="Y162" s="1164"/>
      <c r="Z162" s="1164"/>
      <c r="AA162" s="548"/>
      <c r="AB162" s="1164"/>
      <c r="AC162" s="1164"/>
      <c r="AD162" s="1164"/>
      <c r="AE162" s="1164"/>
      <c r="AF162" s="1164"/>
      <c r="AG162" s="1636"/>
      <c r="AH162" s="570"/>
      <c r="AI162" s="570"/>
      <c r="AJ162" s="570"/>
      <c r="AK162" s="570"/>
      <c r="AL162" s="1645">
        <v>11</v>
      </c>
    </row>
    <row s="1645" customFormat="1" customHeight="1" ht="11.549999999999999">
      <c r="A163" s="991"/>
      <c r="B163" s="1640"/>
      <c r="C163" s="1640"/>
      <c r="D163" s="355"/>
      <c r="J163" s="1645"/>
      <c r="K163" s="1645"/>
      <c r="L163" s="1645"/>
      <c r="M163" s="1645"/>
      <c r="N163" s="1645"/>
      <c r="O163" s="1645"/>
      <c r="Q163" s="1164"/>
      <c r="R163" s="1640"/>
      <c r="S163" s="1640"/>
      <c r="T163" s="1164"/>
      <c r="U163" s="1164"/>
      <c r="V163" s="1164"/>
      <c r="W163" s="1164"/>
      <c r="X163" s="1640"/>
      <c r="Y163" s="1164"/>
      <c r="Z163" s="1164"/>
      <c r="AA163" s="548"/>
      <c r="AB163" s="1164"/>
      <c r="AC163" s="1164"/>
      <c r="AD163" s="1164"/>
      <c r="AE163" s="1164"/>
      <c r="AF163" s="1164"/>
      <c r="AG163" s="1636"/>
      <c r="AH163" s="570"/>
      <c r="AI163" s="570"/>
      <c r="AJ163" s="570"/>
      <c r="AK163" s="570"/>
      <c r="AL163" s="1645">
        <v>11</v>
      </c>
    </row>
    <row s="1645" customFormat="1" customHeight="1" ht="11.549999999999999">
      <c r="A164" s="991"/>
      <c r="B164" s="1640"/>
      <c r="C164" s="1640"/>
      <c r="D164" s="355"/>
      <c r="J164" s="1645"/>
      <c r="K164" s="1645"/>
      <c r="L164" s="1645"/>
      <c r="M164" s="1645"/>
      <c r="N164" s="1645"/>
      <c r="O164" s="1645"/>
      <c r="Q164" s="1164"/>
      <c r="R164" s="1640"/>
      <c r="S164" s="1640"/>
      <c r="T164" s="1164"/>
      <c r="U164" s="1164"/>
      <c r="V164" s="1164"/>
      <c r="W164" s="1164"/>
      <c r="X164" s="1640"/>
      <c r="Y164" s="1164"/>
      <c r="Z164" s="1164"/>
      <c r="AA164" s="548"/>
      <c r="AB164" s="1164"/>
      <c r="AC164" s="1164"/>
      <c r="AD164" s="1164"/>
      <c r="AE164" s="1164"/>
      <c r="AF164" s="1164"/>
      <c r="AG164" s="1636"/>
      <c r="AH164" s="570"/>
      <c r="AI164" s="570"/>
      <c r="AJ164" s="570"/>
      <c r="AK164" s="570"/>
      <c r="AL164" s="1645">
        <v>11</v>
      </c>
    </row>
    <row s="1645" customFormat="1" customHeight="1" ht="11.549999999999999">
      <c r="A165" s="991"/>
      <c r="B165" s="1640"/>
      <c r="C165" s="1640"/>
      <c r="D165" s="355"/>
      <c r="J165" s="1645"/>
      <c r="K165" s="1645"/>
      <c r="L165" s="1645"/>
      <c r="M165" s="1645"/>
      <c r="N165" s="1645"/>
      <c r="O165" s="1645"/>
      <c r="Q165" s="1164"/>
      <c r="R165" s="1640"/>
      <c r="S165" s="1640"/>
      <c r="T165" s="1164"/>
      <c r="U165" s="1164"/>
      <c r="V165" s="1164"/>
      <c r="W165" s="1164"/>
      <c r="X165" s="1640"/>
      <c r="Y165" s="1164"/>
      <c r="Z165" s="1164"/>
      <c r="AA165" s="548"/>
      <c r="AB165" s="1164"/>
      <c r="AC165" s="1164"/>
      <c r="AD165" s="1164"/>
      <c r="AE165" s="1164"/>
      <c r="AF165" s="1164"/>
      <c r="AG165" s="1636"/>
      <c r="AH165" s="570"/>
      <c r="AI165" s="570"/>
      <c r="AJ165" s="570"/>
      <c r="AK165" s="570"/>
      <c r="AL165" s="1645">
        <v>11</v>
      </c>
    </row>
    <row s="1645" customFormat="1" customHeight="1" ht="11.549999999999999">
      <c r="A166" s="991"/>
      <c r="B166" s="1640"/>
      <c r="C166" s="1640"/>
      <c r="D166" s="355"/>
      <c r="J166" s="1645"/>
      <c r="K166" s="1645"/>
      <c r="L166" s="1645"/>
      <c r="M166" s="1645"/>
      <c r="N166" s="1645"/>
      <c r="O166" s="1645"/>
      <c r="Q166" s="1164"/>
      <c r="R166" s="1640"/>
      <c r="S166" s="1640"/>
      <c r="T166" s="1164"/>
      <c r="U166" s="1164"/>
      <c r="V166" s="1164"/>
      <c r="W166" s="1164"/>
      <c r="X166" s="1640"/>
      <c r="Y166" s="1164"/>
      <c r="Z166" s="1164"/>
      <c r="AA166" s="548"/>
      <c r="AB166" s="1164"/>
      <c r="AC166" s="1164"/>
      <c r="AD166" s="1164"/>
      <c r="AE166" s="1164"/>
      <c r="AF166" s="1164"/>
      <c r="AG166" s="1636"/>
      <c r="AH166" s="570"/>
      <c r="AI166" s="570"/>
      <c r="AJ166" s="570"/>
      <c r="AK166" s="570"/>
      <c r="AL166" s="1645">
        <v>11</v>
      </c>
    </row>
    <row s="1645" customFormat="1" customHeight="1" ht="11.549999999999999">
      <c r="A167" s="991"/>
      <c r="B167" s="1640"/>
      <c r="C167" s="1640"/>
      <c r="D167" s="355"/>
      <c r="J167" s="1645"/>
      <c r="K167" s="1645"/>
      <c r="L167" s="1645"/>
      <c r="M167" s="1645"/>
      <c r="N167" s="1645"/>
      <c r="O167" s="1645"/>
      <c r="Q167" s="1164"/>
      <c r="R167" s="1640"/>
      <c r="S167" s="1640"/>
      <c r="T167" s="1164"/>
      <c r="U167" s="1164"/>
      <c r="V167" s="1164"/>
      <c r="W167" s="1164"/>
      <c r="X167" s="1640"/>
      <c r="Y167" s="1164"/>
      <c r="Z167" s="1164"/>
      <c r="AA167" s="548"/>
      <c r="AB167" s="1164"/>
      <c r="AC167" s="1164"/>
      <c r="AD167" s="1164"/>
      <c r="AE167" s="1164"/>
      <c r="AF167" s="1164"/>
      <c r="AG167" s="1636"/>
      <c r="AH167" s="570"/>
      <c r="AI167" s="570"/>
      <c r="AJ167" s="570"/>
      <c r="AK167" s="570"/>
      <c r="AL167" s="1645">
        <v>11</v>
      </c>
    </row>
    <row s="1645" customFormat="1" customHeight="1" ht="11.549999999999999">
      <c r="A168" s="991"/>
      <c r="B168" s="1640"/>
      <c r="C168" s="1640"/>
      <c r="D168" s="355"/>
      <c r="J168" s="1645"/>
      <c r="K168" s="1645"/>
      <c r="L168" s="1645"/>
      <c r="M168" s="1645"/>
      <c r="N168" s="1645"/>
      <c r="O168" s="1645"/>
      <c r="Q168" s="1164"/>
      <c r="R168" s="1640"/>
      <c r="S168" s="1640"/>
      <c r="T168" s="1164"/>
      <c r="U168" s="1164"/>
      <c r="V168" s="1164"/>
      <c r="W168" s="1164"/>
      <c r="X168" s="1640"/>
      <c r="Y168" s="1164"/>
      <c r="Z168" s="1164"/>
      <c r="AA168" s="548"/>
      <c r="AB168" s="1164"/>
      <c r="AC168" s="1164"/>
      <c r="AD168" s="1164"/>
      <c r="AE168" s="1164"/>
      <c r="AF168" s="1164"/>
      <c r="AG168" s="1636"/>
      <c r="AH168" s="570"/>
      <c r="AI168" s="570"/>
      <c r="AJ168" s="570"/>
      <c r="AK168" s="570"/>
      <c r="AL168" s="1645">
        <v>11</v>
      </c>
    </row>
    <row s="1645" customFormat="1" customHeight="1" ht="11.549999999999999">
      <c r="A169" s="991"/>
      <c r="B169" s="1640"/>
      <c r="C169" s="1640"/>
      <c r="D169" s="355"/>
      <c r="J169" s="1645"/>
      <c r="K169" s="1645"/>
      <c r="L169" s="1645"/>
      <c r="M169" s="1645"/>
      <c r="N169" s="1645"/>
      <c r="O169" s="1645"/>
      <c r="Q169" s="1164"/>
      <c r="R169" s="1640"/>
      <c r="S169" s="1640"/>
      <c r="T169" s="1164"/>
      <c r="U169" s="1164"/>
      <c r="V169" s="1164"/>
      <c r="W169" s="1164"/>
      <c r="X169" s="1640"/>
      <c r="Y169" s="1164"/>
      <c r="Z169" s="1164"/>
      <c r="AA169" s="548"/>
      <c r="AB169" s="1164"/>
      <c r="AC169" s="1164"/>
      <c r="AD169" s="1164"/>
      <c r="AE169" s="1164"/>
      <c r="AF169" s="1164"/>
      <c r="AG169" s="1636"/>
      <c r="AH169" s="570"/>
      <c r="AI169" s="570"/>
      <c r="AJ169" s="570"/>
      <c r="AK169" s="570"/>
      <c r="AL169" s="1645">
        <v>11</v>
      </c>
    </row>
    <row s="1645" customFormat="1" customHeight="1" ht="11.549999999999999">
      <c r="A170" s="991"/>
      <c r="B170" s="1640"/>
      <c r="C170" s="1640"/>
      <c r="D170" s="355"/>
      <c r="J170" s="1645"/>
      <c r="K170" s="1645"/>
      <c r="L170" s="1645"/>
      <c r="M170" s="1645"/>
      <c r="N170" s="1645"/>
      <c r="O170" s="1645"/>
      <c r="Q170" s="1164"/>
      <c r="R170" s="1640"/>
      <c r="S170" s="1640"/>
      <c r="T170" s="1164"/>
      <c r="U170" s="1164"/>
      <c r="V170" s="1164"/>
      <c r="W170" s="1164"/>
      <c r="X170" s="1640"/>
      <c r="Y170" s="1164"/>
      <c r="Z170" s="1164"/>
      <c r="AA170" s="548"/>
      <c r="AB170" s="1164"/>
      <c r="AC170" s="1164"/>
      <c r="AD170" s="1164"/>
      <c r="AE170" s="1164"/>
      <c r="AF170" s="1164"/>
      <c r="AG170" s="1636"/>
      <c r="AH170" s="570"/>
      <c r="AI170" s="570"/>
      <c r="AJ170" s="570"/>
      <c r="AK170" s="570"/>
      <c r="AL170" s="1645">
        <v>11</v>
      </c>
    </row>
    <row s="1645" customFormat="1" customHeight="1" ht="11.549999999999999">
      <c r="A171" s="991"/>
      <c r="B171" s="1640"/>
      <c r="C171" s="1640"/>
      <c r="D171" s="355"/>
      <c r="J171" s="1645"/>
      <c r="K171" s="1645"/>
      <c r="L171" s="1645"/>
      <c r="M171" s="1645"/>
      <c r="N171" s="1645"/>
      <c r="O171" s="1645"/>
      <c r="Q171" s="1164"/>
      <c r="R171" s="1640"/>
      <c r="S171" s="1640"/>
      <c r="T171" s="1164"/>
      <c r="U171" s="1164"/>
      <c r="V171" s="1164"/>
      <c r="W171" s="1164"/>
      <c r="X171" s="1640"/>
      <c r="Y171" s="1164"/>
      <c r="Z171" s="1164"/>
      <c r="AA171" s="548"/>
      <c r="AB171" s="1164"/>
      <c r="AC171" s="1164"/>
      <c r="AD171" s="1164"/>
      <c r="AE171" s="1164"/>
      <c r="AF171" s="1164"/>
      <c r="AG171" s="1636"/>
      <c r="AH171" s="570"/>
      <c r="AI171" s="570"/>
      <c r="AJ171" s="570"/>
      <c r="AK171" s="570"/>
      <c r="AL171" s="1645">
        <v>11</v>
      </c>
    </row>
    <row s="1645" customFormat="1" customHeight="1" ht="11.549999999999999">
      <c r="A172" s="991"/>
      <c r="B172" s="1640"/>
      <c r="C172" s="1640"/>
      <c r="D172" s="355"/>
      <c r="J172" s="1645"/>
      <c r="K172" s="1645"/>
      <c r="L172" s="1645"/>
      <c r="M172" s="1645"/>
      <c r="N172" s="1645"/>
      <c r="O172" s="1645"/>
      <c r="Q172" s="1164"/>
      <c r="R172" s="1640"/>
      <c r="S172" s="1640"/>
      <c r="T172" s="1164"/>
      <c r="U172" s="1164"/>
      <c r="V172" s="1164"/>
      <c r="W172" s="1164"/>
      <c r="X172" s="1640"/>
      <c r="Y172" s="1164"/>
      <c r="Z172" s="1164"/>
      <c r="AA172" s="548"/>
      <c r="AB172" s="1164"/>
      <c r="AC172" s="1164"/>
      <c r="AD172" s="1164"/>
      <c r="AE172" s="1164"/>
      <c r="AF172" s="1164"/>
      <c r="AG172" s="1636"/>
      <c r="AH172" s="570"/>
      <c r="AI172" s="570"/>
      <c r="AJ172" s="570"/>
      <c r="AK172" s="570"/>
      <c r="AL172" s="1645">
        <v>11</v>
      </c>
    </row>
    <row s="1645" customFormat="1" customHeight="1" ht="11.549999999999999">
      <c r="A173" s="991"/>
      <c r="B173" s="1640"/>
      <c r="C173" s="1640"/>
      <c r="D173" s="355"/>
      <c r="J173" s="1645"/>
      <c r="K173" s="1645"/>
      <c r="L173" s="1645"/>
      <c r="M173" s="1645"/>
      <c r="N173" s="1645"/>
      <c r="O173" s="1645"/>
      <c r="Q173" s="1164"/>
      <c r="R173" s="1640"/>
      <c r="S173" s="1640"/>
      <c r="T173" s="1164"/>
      <c r="U173" s="1164"/>
      <c r="V173" s="1164"/>
      <c r="W173" s="1164"/>
      <c r="X173" s="1640"/>
      <c r="Y173" s="1164"/>
      <c r="Z173" s="1164"/>
      <c r="AA173" s="548"/>
      <c r="AB173" s="1164"/>
      <c r="AC173" s="1164"/>
      <c r="AD173" s="1164"/>
      <c r="AE173" s="1164"/>
      <c r="AF173" s="1164"/>
      <c r="AG173" s="1636"/>
      <c r="AH173" s="570"/>
      <c r="AI173" s="570"/>
      <c r="AJ173" s="570"/>
      <c r="AK173" s="570"/>
      <c r="AL173" s="1645">
        <v>11</v>
      </c>
    </row>
    <row s="1645" customFormat="1" customHeight="1" ht="11.549999999999999">
      <c r="A174" s="991"/>
      <c r="B174" s="1640"/>
      <c r="C174" s="1640"/>
      <c r="D174" s="355"/>
      <c r="J174" s="1645"/>
      <c r="K174" s="1645"/>
      <c r="L174" s="1645"/>
      <c r="M174" s="1645"/>
      <c r="N174" s="1645"/>
      <c r="O174" s="1645"/>
      <c r="Q174" s="1164"/>
      <c r="R174" s="1640"/>
      <c r="S174" s="1640"/>
      <c r="T174" s="1164"/>
      <c r="U174" s="1164"/>
      <c r="V174" s="1164"/>
      <c r="W174" s="1164"/>
      <c r="X174" s="1640"/>
      <c r="Y174" s="1164"/>
      <c r="Z174" s="1164"/>
      <c r="AA174" s="548"/>
      <c r="AB174" s="1164"/>
      <c r="AC174" s="1164"/>
      <c r="AD174" s="1164"/>
      <c r="AE174" s="1164"/>
      <c r="AF174" s="1164"/>
      <c r="AG174" s="1636"/>
      <c r="AH174" s="570"/>
      <c r="AI174" s="570"/>
      <c r="AJ174" s="570"/>
      <c r="AK174" s="570"/>
      <c r="AL174" s="1645">
        <v>11</v>
      </c>
    </row>
    <row s="1645" customFormat="1" customHeight="1" ht="11.549999999999999">
      <c r="A175" s="991"/>
      <c r="B175" s="1640"/>
      <c r="C175" s="1640"/>
      <c r="D175" s="355"/>
      <c r="J175" s="1645"/>
      <c r="K175" s="1645"/>
      <c r="L175" s="1645"/>
      <c r="M175" s="1645"/>
      <c r="N175" s="1645"/>
      <c r="O175" s="1645"/>
      <c r="Q175" s="1164"/>
      <c r="R175" s="1640"/>
      <c r="S175" s="1640"/>
      <c r="T175" s="1164"/>
      <c r="U175" s="1164"/>
      <c r="V175" s="1164"/>
      <c r="W175" s="1164"/>
      <c r="X175" s="1640"/>
      <c r="Y175" s="1164"/>
      <c r="Z175" s="1164"/>
      <c r="AA175" s="548"/>
      <c r="AB175" s="1164"/>
      <c r="AC175" s="1164"/>
      <c r="AD175" s="1164"/>
      <c r="AE175" s="1164"/>
      <c r="AF175" s="1164"/>
      <c r="AG175" s="1636"/>
      <c r="AH175" s="570"/>
      <c r="AI175" s="570"/>
      <c r="AJ175" s="570"/>
      <c r="AK175" s="570"/>
      <c r="AL175" s="1645">
        <v>11</v>
      </c>
    </row>
    <row s="1645" customFormat="1" customHeight="1" ht="11.549999999999999">
      <c r="A176" s="991"/>
      <c r="B176" s="1640"/>
      <c r="C176" s="1640"/>
      <c r="D176" s="355"/>
      <c r="J176" s="1645"/>
      <c r="K176" s="1645"/>
      <c r="L176" s="1645"/>
      <c r="M176" s="1645"/>
      <c r="N176" s="1645"/>
      <c r="O176" s="1645"/>
      <c r="Q176" s="1164"/>
      <c r="R176" s="1640"/>
      <c r="S176" s="1640"/>
      <c r="T176" s="1164"/>
      <c r="U176" s="1164"/>
      <c r="V176" s="1164"/>
      <c r="W176" s="1164"/>
      <c r="X176" s="1640"/>
      <c r="Y176" s="1164"/>
      <c r="Z176" s="1164"/>
      <c r="AA176" s="548"/>
      <c r="AB176" s="1164"/>
      <c r="AC176" s="1164"/>
      <c r="AD176" s="1164"/>
      <c r="AE176" s="1164"/>
      <c r="AF176" s="1164"/>
      <c r="AG176" s="1636"/>
      <c r="AH176" s="570"/>
      <c r="AI176" s="570"/>
      <c r="AJ176" s="570"/>
      <c r="AK176" s="570"/>
      <c r="AL176" s="1645">
        <v>11</v>
      </c>
    </row>
    <row s="1645" customFormat="1" customHeight="1" ht="11.549999999999999">
      <c r="A177" s="991"/>
      <c r="B177" s="1640"/>
      <c r="C177" s="1640"/>
      <c r="D177" s="355"/>
      <c r="J177" s="1645"/>
      <c r="K177" s="1645"/>
      <c r="L177" s="1645"/>
      <c r="M177" s="1645"/>
      <c r="N177" s="1645"/>
      <c r="O177" s="1645"/>
      <c r="Q177" s="1164"/>
      <c r="R177" s="1640"/>
      <c r="S177" s="1640"/>
      <c r="T177" s="1164"/>
      <c r="U177" s="1164"/>
      <c r="V177" s="1164"/>
      <c r="W177" s="1164"/>
      <c r="X177" s="1640"/>
      <c r="Y177" s="1164"/>
      <c r="Z177" s="1164"/>
      <c r="AA177" s="548"/>
      <c r="AB177" s="1164"/>
      <c r="AC177" s="1164"/>
      <c r="AD177" s="1164"/>
      <c r="AE177" s="1164"/>
      <c r="AF177" s="1164"/>
      <c r="AG177" s="1636"/>
      <c r="AH177" s="570"/>
      <c r="AI177" s="570"/>
      <c r="AJ177" s="570"/>
      <c r="AK177" s="570"/>
      <c r="AL177" s="1645">
        <v>11</v>
      </c>
    </row>
    <row s="1645" customFormat="1" customHeight="1" ht="11.549999999999999">
      <c r="A178" s="991"/>
      <c r="B178" s="1640"/>
      <c r="C178" s="1640"/>
      <c r="D178" s="355"/>
      <c r="J178" s="1645"/>
      <c r="K178" s="1645"/>
      <c r="L178" s="1645"/>
      <c r="M178" s="1645"/>
      <c r="N178" s="1645"/>
      <c r="O178" s="1645"/>
      <c r="Q178" s="1164"/>
      <c r="R178" s="1640"/>
      <c r="S178" s="1640"/>
      <c r="T178" s="1164"/>
      <c r="U178" s="1164"/>
      <c r="V178" s="1164"/>
      <c r="W178" s="1164"/>
      <c r="X178" s="1640"/>
      <c r="Y178" s="1164"/>
      <c r="Z178" s="1164"/>
      <c r="AA178" s="548"/>
      <c r="AB178" s="1164"/>
      <c r="AC178" s="1164"/>
      <c r="AD178" s="1164"/>
      <c r="AE178" s="1164"/>
      <c r="AF178" s="1164"/>
      <c r="AG178" s="1636"/>
      <c r="AH178" s="570"/>
      <c r="AI178" s="570"/>
      <c r="AJ178" s="570"/>
      <c r="AK178" s="570"/>
      <c r="AL178" s="1645">
        <v>11</v>
      </c>
    </row>
    <row s="1645" customFormat="1" customHeight="1" ht="11.549999999999999">
      <c r="A179" s="991"/>
      <c r="B179" s="1640"/>
      <c r="C179" s="1640"/>
      <c r="D179" s="355"/>
      <c r="J179" s="1645"/>
      <c r="K179" s="1645"/>
      <c r="L179" s="1645"/>
      <c r="M179" s="1645"/>
      <c r="N179" s="1645"/>
      <c r="O179" s="1645"/>
      <c r="Q179" s="1164"/>
      <c r="R179" s="1640"/>
      <c r="S179" s="1640"/>
      <c r="T179" s="1164"/>
      <c r="U179" s="1164"/>
      <c r="V179" s="1164"/>
      <c r="W179" s="1164"/>
      <c r="X179" s="1640"/>
      <c r="Y179" s="1164"/>
      <c r="Z179" s="1164"/>
      <c r="AA179" s="548"/>
      <c r="AB179" s="1164"/>
      <c r="AC179" s="1164"/>
      <c r="AD179" s="1164"/>
      <c r="AE179" s="1164"/>
      <c r="AF179" s="1164"/>
      <c r="AG179" s="1636"/>
      <c r="AH179" s="570"/>
      <c r="AI179" s="570"/>
      <c r="AJ179" s="570"/>
      <c r="AK179" s="570"/>
      <c r="AL179" s="1645">
        <v>11</v>
      </c>
    </row>
    <row s="1645" customFormat="1" customHeight="1" ht="11.549999999999999">
      <c r="A180" s="991"/>
      <c r="B180" s="1640"/>
      <c r="C180" s="1640"/>
      <c r="D180" s="355"/>
      <c r="J180" s="1645"/>
      <c r="K180" s="1645"/>
      <c r="L180" s="1645"/>
      <c r="M180" s="1645"/>
      <c r="N180" s="1645"/>
      <c r="O180" s="1645"/>
      <c r="Q180" s="1164"/>
      <c r="R180" s="1640"/>
      <c r="S180" s="1640"/>
      <c r="T180" s="1164"/>
      <c r="U180" s="1164"/>
      <c r="V180" s="1164"/>
      <c r="W180" s="1164"/>
      <c r="X180" s="1640"/>
      <c r="Y180" s="1164"/>
      <c r="Z180" s="1164"/>
      <c r="AA180" s="548"/>
      <c r="AB180" s="1164"/>
      <c r="AC180" s="1164"/>
      <c r="AD180" s="1164"/>
      <c r="AE180" s="1164"/>
      <c r="AF180" s="1164"/>
      <c r="AG180" s="1636"/>
      <c r="AH180" s="570"/>
      <c r="AI180" s="570"/>
      <c r="AJ180" s="570"/>
      <c r="AK180" s="570"/>
      <c r="AL180" s="1645">
        <v>11</v>
      </c>
    </row>
    <row s="1645" customFormat="1" customHeight="1" ht="11.549999999999999">
      <c r="A181" s="991"/>
      <c r="B181" s="1640"/>
      <c r="C181" s="1640"/>
      <c r="D181" s="355"/>
      <c r="J181" s="1645"/>
      <c r="K181" s="1645"/>
      <c r="L181" s="1645"/>
      <c r="M181" s="1645"/>
      <c r="N181" s="1645"/>
      <c r="O181" s="1645"/>
      <c r="Q181" s="1164"/>
      <c r="R181" s="1640"/>
      <c r="S181" s="1640"/>
      <c r="T181" s="1164"/>
      <c r="U181" s="1164"/>
      <c r="V181" s="1164"/>
      <c r="W181" s="1164"/>
      <c r="X181" s="1640"/>
      <c r="Y181" s="1164"/>
      <c r="Z181" s="1164"/>
      <c r="AA181" s="548"/>
      <c r="AB181" s="1164"/>
      <c r="AC181" s="1164"/>
      <c r="AD181" s="1164"/>
      <c r="AE181" s="1164"/>
      <c r="AF181" s="1164"/>
      <c r="AG181" s="1636"/>
      <c r="AH181" s="570"/>
      <c r="AI181" s="570"/>
      <c r="AJ181" s="570"/>
      <c r="AK181" s="570"/>
      <c r="AL181" s="1645">
        <v>11</v>
      </c>
    </row>
    <row s="1645" customFormat="1" customHeight="1" ht="11.549999999999999">
      <c r="A182" s="991"/>
      <c r="B182" s="1640"/>
      <c r="C182" s="1640"/>
      <c r="D182" s="355"/>
      <c r="J182" s="1645"/>
      <c r="K182" s="1645"/>
      <c r="L182" s="1645"/>
      <c r="M182" s="1645"/>
      <c r="N182" s="1645"/>
      <c r="O182" s="1645"/>
      <c r="Q182" s="1164"/>
      <c r="R182" s="1640"/>
      <c r="S182" s="1640"/>
      <c r="T182" s="1164"/>
      <c r="U182" s="1164"/>
      <c r="V182" s="1164"/>
      <c r="W182" s="1164"/>
      <c r="X182" s="1640"/>
      <c r="Y182" s="1164"/>
      <c r="Z182" s="1164"/>
      <c r="AA182" s="548"/>
      <c r="AB182" s="1164"/>
      <c r="AC182" s="1164"/>
      <c r="AD182" s="1164"/>
      <c r="AE182" s="1164"/>
      <c r="AF182" s="1164"/>
      <c r="AG182" s="1636"/>
      <c r="AH182" s="570"/>
      <c r="AI182" s="570"/>
      <c r="AJ182" s="570"/>
      <c r="AK182" s="570"/>
      <c r="AL182" s="1645">
        <v>11</v>
      </c>
    </row>
    <row s="1645" customFormat="1" customHeight="1" ht="11.549999999999999">
      <c r="A183" s="991"/>
      <c r="B183" s="1640"/>
      <c r="C183" s="1640"/>
      <c r="D183" s="355"/>
      <c r="J183" s="1645"/>
      <c r="K183" s="1645"/>
      <c r="L183" s="1645"/>
      <c r="M183" s="1645"/>
      <c r="N183" s="1645"/>
      <c r="O183" s="1645"/>
      <c r="Q183" s="1164"/>
      <c r="R183" s="1640"/>
      <c r="S183" s="1640"/>
      <c r="T183" s="1164"/>
      <c r="U183" s="1164"/>
      <c r="V183" s="1164"/>
      <c r="W183" s="1164"/>
      <c r="X183" s="1640"/>
      <c r="Y183" s="1164"/>
      <c r="Z183" s="1164"/>
      <c r="AA183" s="548"/>
      <c r="AB183" s="1164"/>
      <c r="AC183" s="1164"/>
      <c r="AD183" s="1164"/>
      <c r="AE183" s="1164"/>
      <c r="AF183" s="1164"/>
      <c r="AG183" s="1636"/>
      <c r="AH183" s="570"/>
      <c r="AI183" s="570"/>
      <c r="AJ183" s="570"/>
      <c r="AK183" s="570"/>
      <c r="AL183" s="1645">
        <v>11</v>
      </c>
    </row>
    <row s="1645" customFormat="1" customHeight="1" ht="11.549999999999999">
      <c r="A184" s="991"/>
      <c r="B184" s="1640"/>
      <c r="C184" s="1640"/>
      <c r="D184" s="355"/>
      <c r="J184" s="1645"/>
      <c r="K184" s="1645"/>
      <c r="L184" s="1645"/>
      <c r="M184" s="1645"/>
      <c r="N184" s="1645"/>
      <c r="O184" s="1645"/>
      <c r="Q184" s="1164"/>
      <c r="R184" s="1640"/>
      <c r="S184" s="1640"/>
      <c r="T184" s="1164"/>
      <c r="U184" s="1164"/>
      <c r="V184" s="1164"/>
      <c r="W184" s="1164"/>
      <c r="X184" s="1640"/>
      <c r="Y184" s="1164"/>
      <c r="Z184" s="1164"/>
      <c r="AA184" s="548"/>
      <c r="AB184" s="1164"/>
      <c r="AC184" s="1164"/>
      <c r="AD184" s="1164"/>
      <c r="AE184" s="1164"/>
      <c r="AF184" s="1164"/>
      <c r="AG184" s="1636"/>
      <c r="AH184" s="570"/>
      <c r="AI184" s="570"/>
      <c r="AJ184" s="570"/>
      <c r="AK184" s="570"/>
      <c r="AL184" s="1645">
        <v>11</v>
      </c>
    </row>
    <row s="1645" customFormat="1" customHeight="1" ht="11.549999999999999">
      <c r="A185" s="991"/>
      <c r="B185" s="1640"/>
      <c r="C185" s="1640"/>
      <c r="D185" s="355"/>
      <c r="J185" s="1645"/>
      <c r="K185" s="1645"/>
      <c r="L185" s="1645"/>
      <c r="M185" s="1645"/>
      <c r="N185" s="1645"/>
      <c r="O185" s="1645"/>
      <c r="Q185" s="1164"/>
      <c r="R185" s="1640"/>
      <c r="S185" s="1640"/>
      <c r="T185" s="1164"/>
      <c r="U185" s="1164"/>
      <c r="V185" s="1164"/>
      <c r="W185" s="1164"/>
      <c r="X185" s="1640"/>
      <c r="Y185" s="1164"/>
      <c r="Z185" s="1164"/>
      <c r="AA185" s="548"/>
      <c r="AB185" s="1164"/>
      <c r="AC185" s="1164"/>
      <c r="AD185" s="1164"/>
      <c r="AE185" s="1164"/>
      <c r="AF185" s="1164"/>
      <c r="AG185" s="1636"/>
      <c r="AH185" s="570"/>
      <c r="AI185" s="570"/>
      <c r="AJ185" s="570"/>
      <c r="AK185" s="570"/>
      <c r="AL185" s="1645">
        <v>11</v>
      </c>
    </row>
    <row s="1645" customFormat="1" customHeight="1" ht="11.549999999999999">
      <c r="A186" s="991"/>
      <c r="B186" s="1640"/>
      <c r="C186" s="1640"/>
      <c r="D186" s="355"/>
      <c r="J186" s="1645"/>
      <c r="K186" s="1645"/>
      <c r="L186" s="1645"/>
      <c r="M186" s="1645"/>
      <c r="N186" s="1645"/>
      <c r="O186" s="1645"/>
      <c r="Q186" s="1164"/>
      <c r="R186" s="1640"/>
      <c r="S186" s="1640"/>
      <c r="T186" s="1164"/>
      <c r="U186" s="1164"/>
      <c r="V186" s="1164"/>
      <c r="W186" s="1164"/>
      <c r="X186" s="1640"/>
      <c r="Y186" s="1164"/>
      <c r="Z186" s="1164"/>
      <c r="AA186" s="548"/>
      <c r="AB186" s="1164"/>
      <c r="AC186" s="1164"/>
      <c r="AD186" s="1164"/>
      <c r="AE186" s="1164"/>
      <c r="AF186" s="1164"/>
      <c r="AG186" s="1636"/>
      <c r="AH186" s="570"/>
      <c r="AI186" s="570"/>
      <c r="AJ186" s="570"/>
      <c r="AK186" s="570"/>
      <c r="AL186" s="1645">
        <v>11</v>
      </c>
    </row>
    <row s="1645" customFormat="1" customHeight="1" ht="11.549999999999999">
      <c r="A187" s="991"/>
      <c r="B187" s="1640"/>
      <c r="C187" s="1640"/>
      <c r="D187" s="355"/>
      <c r="J187" s="1645"/>
      <c r="K187" s="1645"/>
      <c r="L187" s="1645"/>
      <c r="M187" s="1645"/>
      <c r="N187" s="1645"/>
      <c r="O187" s="1645"/>
      <c r="Q187" s="1164"/>
      <c r="R187" s="1640"/>
      <c r="S187" s="1640"/>
      <c r="T187" s="1164"/>
      <c r="U187" s="1164"/>
      <c r="V187" s="1164"/>
      <c r="W187" s="1164"/>
      <c r="X187" s="1640"/>
      <c r="Y187" s="1164"/>
      <c r="Z187" s="1164"/>
      <c r="AA187" s="548"/>
      <c r="AB187" s="1164"/>
      <c r="AC187" s="1164"/>
      <c r="AD187" s="1164"/>
      <c r="AE187" s="1164"/>
      <c r="AF187" s="1164"/>
      <c r="AG187" s="1636"/>
      <c r="AH187" s="570"/>
      <c r="AI187" s="570"/>
      <c r="AJ187" s="570"/>
      <c r="AK187" s="570"/>
      <c r="AL187" s="1645">
        <v>11</v>
      </c>
    </row>
    <row s="1645" customFormat="1" customHeight="1" ht="11.549999999999999">
      <c r="A188" s="991"/>
      <c r="B188" s="1640"/>
      <c r="C188" s="1640"/>
      <c r="D188" s="355"/>
      <c r="J188" s="1645"/>
      <c r="K188" s="1645"/>
      <c r="L188" s="1645"/>
      <c r="M188" s="1645"/>
      <c r="N188" s="1645"/>
      <c r="O188" s="1645"/>
      <c r="Q188" s="1164"/>
      <c r="R188" s="1640"/>
      <c r="S188" s="1640"/>
      <c r="T188" s="1164"/>
      <c r="U188" s="1164"/>
      <c r="V188" s="1164"/>
      <c r="W188" s="1164"/>
      <c r="X188" s="1640"/>
      <c r="Y188" s="1164"/>
      <c r="Z188" s="1164"/>
      <c r="AA188" s="548"/>
      <c r="AB188" s="1164"/>
      <c r="AC188" s="1164"/>
      <c r="AD188" s="1164"/>
      <c r="AE188" s="1164"/>
      <c r="AF188" s="1164"/>
      <c r="AG188" s="1636"/>
      <c r="AH188" s="570"/>
      <c r="AI188" s="570"/>
      <c r="AJ188" s="570"/>
      <c r="AK188" s="570"/>
      <c r="AL188" s="1645">
        <v>11</v>
      </c>
    </row>
    <row s="1645" customFormat="1" customHeight="1" ht="11.549999999999999">
      <c r="A189" s="991"/>
      <c r="B189" s="1640"/>
      <c r="C189" s="1640"/>
      <c r="D189" s="355"/>
      <c r="J189" s="1645"/>
      <c r="K189" s="1645"/>
      <c r="L189" s="1645"/>
      <c r="M189" s="1645"/>
      <c r="N189" s="1645"/>
      <c r="O189" s="1645"/>
      <c r="Q189" s="1164"/>
      <c r="R189" s="1640"/>
      <c r="S189" s="1640"/>
      <c r="T189" s="1164"/>
      <c r="U189" s="1164"/>
      <c r="V189" s="1164"/>
      <c r="W189" s="1164"/>
      <c r="X189" s="1640"/>
      <c r="Y189" s="1164"/>
      <c r="Z189" s="1164"/>
      <c r="AA189" s="548"/>
      <c r="AB189" s="1164"/>
      <c r="AC189" s="1164"/>
      <c r="AD189" s="1164"/>
      <c r="AE189" s="1164"/>
      <c r="AF189" s="1164"/>
      <c r="AG189" s="1636"/>
      <c r="AH189" s="570"/>
      <c r="AI189" s="570"/>
      <c r="AJ189" s="570"/>
      <c r="AK189" s="570"/>
      <c r="AL189" s="1645">
        <v>11</v>
      </c>
    </row>
    <row s="1645" customFormat="1" customHeight="1" ht="11.549999999999999">
      <c r="A190" s="991"/>
      <c r="B190" s="1640"/>
      <c r="C190" s="1640"/>
      <c r="D190" s="355"/>
      <c r="J190" s="1645"/>
      <c r="K190" s="1645"/>
      <c r="L190" s="1645"/>
      <c r="M190" s="1645"/>
      <c r="N190" s="1645"/>
      <c r="O190" s="1645"/>
      <c r="Q190" s="1164"/>
      <c r="R190" s="1640"/>
      <c r="S190" s="1640"/>
      <c r="T190" s="1164"/>
      <c r="U190" s="1164"/>
      <c r="V190" s="1164"/>
      <c r="W190" s="1164"/>
      <c r="X190" s="1640"/>
      <c r="Y190" s="1164"/>
      <c r="Z190" s="1164"/>
      <c r="AA190" s="548"/>
      <c r="AB190" s="1164"/>
      <c r="AC190" s="1164"/>
      <c r="AD190" s="1164"/>
      <c r="AE190" s="1164"/>
      <c r="AF190" s="1164"/>
      <c r="AG190" s="1636"/>
      <c r="AH190" s="570"/>
      <c r="AI190" s="570"/>
      <c r="AJ190" s="570"/>
      <c r="AK190" s="570"/>
      <c r="AL190" s="1645">
        <v>11</v>
      </c>
    </row>
    <row s="1645" customFormat="1" customHeight="1" ht="11.549999999999999">
      <c r="A191" s="991"/>
      <c r="B191" s="1640"/>
      <c r="C191" s="1640"/>
      <c r="D191" s="355"/>
      <c r="J191" s="1645"/>
      <c r="K191" s="1645"/>
      <c r="L191" s="1645"/>
      <c r="M191" s="1645"/>
      <c r="N191" s="1645"/>
      <c r="O191" s="1645"/>
      <c r="Q191" s="1164"/>
      <c r="R191" s="1640"/>
      <c r="S191" s="1640"/>
      <c r="T191" s="1164"/>
      <c r="U191" s="1164"/>
      <c r="V191" s="1164"/>
      <c r="W191" s="1164"/>
      <c r="X191" s="1640"/>
      <c r="Y191" s="1164"/>
      <c r="Z191" s="1164"/>
      <c r="AA191" s="548"/>
      <c r="AB191" s="1164"/>
      <c r="AC191" s="1164"/>
      <c r="AD191" s="1164"/>
      <c r="AE191" s="1164"/>
      <c r="AF191" s="1164"/>
      <c r="AG191" s="1636"/>
      <c r="AH191" s="570"/>
      <c r="AI191" s="570"/>
      <c r="AJ191" s="570"/>
      <c r="AK191" s="570"/>
      <c r="AL191" s="1645">
        <v>11</v>
      </c>
    </row>
    <row s="1645" customFormat="1" customHeight="1" ht="11.549999999999999">
      <c r="A192" s="991"/>
      <c r="B192" s="1640"/>
      <c r="C192" s="1640"/>
      <c r="D192" s="355"/>
      <c r="J192" s="1645"/>
      <c r="K192" s="1645"/>
      <c r="L192" s="1645"/>
      <c r="M192" s="1645"/>
      <c r="N192" s="1645"/>
      <c r="O192" s="1645"/>
      <c r="Q192" s="1164"/>
      <c r="R192" s="1640"/>
      <c r="S192" s="1640"/>
      <c r="T192" s="1164"/>
      <c r="U192" s="1164"/>
      <c r="V192" s="1164"/>
      <c r="W192" s="1164"/>
      <c r="X192" s="1640"/>
      <c r="Y192" s="1164"/>
      <c r="Z192" s="1164"/>
      <c r="AA192" s="548"/>
      <c r="AB192" s="1164"/>
      <c r="AC192" s="1164"/>
      <c r="AD192" s="1164"/>
      <c r="AE192" s="1164"/>
      <c r="AF192" s="1164"/>
      <c r="AG192" s="1636"/>
      <c r="AH192" s="570"/>
      <c r="AI192" s="570"/>
      <c r="AJ192" s="570"/>
      <c r="AK192" s="570"/>
      <c r="AL192" s="1645">
        <v>11</v>
      </c>
    </row>
    <row s="1645" customFormat="1" customHeight="1" ht="11.549999999999999">
      <c r="A193" s="991"/>
      <c r="B193" s="1640"/>
      <c r="C193" s="1640"/>
      <c r="D193" s="355"/>
      <c r="J193" s="1645"/>
      <c r="K193" s="1645"/>
      <c r="L193" s="1645"/>
      <c r="M193" s="1645"/>
      <c r="N193" s="1645"/>
      <c r="O193" s="1645"/>
      <c r="Q193" s="1164"/>
      <c r="R193" s="1640"/>
      <c r="S193" s="1640"/>
      <c r="T193" s="1164"/>
      <c r="U193" s="1164"/>
      <c r="V193" s="1164"/>
      <c r="W193" s="1164"/>
      <c r="X193" s="1640"/>
      <c r="Y193" s="1164"/>
      <c r="Z193" s="1164"/>
      <c r="AA193" s="548"/>
      <c r="AB193" s="1164"/>
      <c r="AC193" s="1164"/>
      <c r="AD193" s="1164"/>
      <c r="AE193" s="1164"/>
      <c r="AF193" s="1164"/>
      <c r="AG193" s="1636"/>
      <c r="AH193" s="570"/>
      <c r="AI193" s="570"/>
      <c r="AJ193" s="570"/>
      <c r="AK193" s="570"/>
      <c r="AL193" s="1645">
        <v>11</v>
      </c>
    </row>
    <row s="1645" customFormat="1" customHeight="1" ht="11.549999999999999">
      <c r="A194" s="991"/>
      <c r="B194" s="1640"/>
      <c r="C194" s="1640"/>
      <c r="D194" s="355"/>
      <c r="J194" s="1645"/>
      <c r="K194" s="1645"/>
      <c r="L194" s="1645"/>
      <c r="M194" s="1645"/>
      <c r="N194" s="1645"/>
      <c r="O194" s="1645"/>
      <c r="Q194" s="1164"/>
      <c r="R194" s="1640"/>
      <c r="S194" s="1640"/>
      <c r="T194" s="1164"/>
      <c r="U194" s="1164"/>
      <c r="V194" s="1164"/>
      <c r="W194" s="1164"/>
      <c r="X194" s="1640"/>
      <c r="Y194" s="1164"/>
      <c r="Z194" s="1164"/>
      <c r="AA194" s="548"/>
      <c r="AB194" s="1164"/>
      <c r="AC194" s="1164"/>
      <c r="AD194" s="1164"/>
      <c r="AE194" s="1164"/>
      <c r="AF194" s="1164"/>
      <c r="AG194" s="1636"/>
      <c r="AH194" s="570"/>
      <c r="AI194" s="570"/>
      <c r="AJ194" s="570"/>
      <c r="AK194" s="570"/>
      <c r="AL194" s="1645">
        <v>11</v>
      </c>
    </row>
    <row s="1645" customFormat="1" customHeight="1" ht="11.549999999999999">
      <c r="A195" s="991"/>
      <c r="B195" s="1640"/>
      <c r="C195" s="1640"/>
      <c r="D195" s="355"/>
      <c r="J195" s="1645"/>
      <c r="K195" s="1645"/>
      <c r="L195" s="1645"/>
      <c r="M195" s="1645"/>
      <c r="N195" s="1645"/>
      <c r="O195" s="1645"/>
      <c r="Q195" s="1164"/>
      <c r="R195" s="1640"/>
      <c r="S195" s="1640"/>
      <c r="T195" s="1164"/>
      <c r="U195" s="1164"/>
      <c r="V195" s="1164"/>
      <c r="W195" s="1164"/>
      <c r="X195" s="1640"/>
      <c r="Y195" s="1164"/>
      <c r="Z195" s="1164"/>
      <c r="AA195" s="548"/>
      <c r="AB195" s="1164"/>
      <c r="AC195" s="1164"/>
      <c r="AD195" s="1164"/>
      <c r="AE195" s="1164"/>
      <c r="AF195" s="1164"/>
      <c r="AG195" s="1636"/>
      <c r="AH195" s="570"/>
      <c r="AI195" s="570"/>
      <c r="AJ195" s="570"/>
      <c r="AK195" s="570"/>
      <c r="AL195" s="1645">
        <v>11</v>
      </c>
    </row>
    <row s="1645" customFormat="1" customHeight="1" ht="11.549999999999999">
      <c r="A196" s="991"/>
      <c r="B196" s="1640"/>
      <c r="C196" s="1640"/>
      <c r="D196" s="355"/>
      <c r="J196" s="1645"/>
      <c r="K196" s="1645"/>
      <c r="L196" s="1645"/>
      <c r="M196" s="1645"/>
      <c r="N196" s="1645"/>
      <c r="O196" s="1645"/>
      <c r="Q196" s="1164"/>
      <c r="R196" s="1640"/>
      <c r="S196" s="1640"/>
      <c r="T196" s="1164"/>
      <c r="U196" s="1164"/>
      <c r="V196" s="1164"/>
      <c r="W196" s="1164"/>
      <c r="X196" s="1640"/>
      <c r="Y196" s="1164"/>
      <c r="Z196" s="1164"/>
      <c r="AA196" s="548"/>
      <c r="AB196" s="1164"/>
      <c r="AC196" s="1164"/>
      <c r="AD196" s="1164"/>
      <c r="AE196" s="1164"/>
      <c r="AF196" s="1164"/>
      <c r="AG196" s="1636"/>
      <c r="AH196" s="570"/>
      <c r="AI196" s="570"/>
      <c r="AJ196" s="570"/>
      <c r="AK196" s="570"/>
      <c r="AL196" s="1645">
        <v>11</v>
      </c>
    </row>
    <row s="1645" customFormat="1" customHeight="1" ht="11.549999999999999">
      <c r="A197" s="991"/>
      <c r="B197" s="1640"/>
      <c r="C197" s="1640"/>
      <c r="D197" s="355"/>
      <c r="J197" s="1645"/>
      <c r="K197" s="1645"/>
      <c r="L197" s="1645"/>
      <c r="M197" s="1645"/>
      <c r="N197" s="1645"/>
      <c r="O197" s="1645"/>
      <c r="Q197" s="1164"/>
      <c r="R197" s="1640"/>
      <c r="S197" s="1640"/>
      <c r="T197" s="1164"/>
      <c r="U197" s="1164"/>
      <c r="V197" s="1164"/>
      <c r="W197" s="1164"/>
      <c r="X197" s="1640"/>
      <c r="Y197" s="1164"/>
      <c r="Z197" s="1164"/>
      <c r="AA197" s="548"/>
      <c r="AB197" s="1164"/>
      <c r="AC197" s="1164"/>
      <c r="AD197" s="1164"/>
      <c r="AE197" s="1164"/>
      <c r="AF197" s="1164"/>
      <c r="AG197" s="1636"/>
      <c r="AH197" s="570"/>
      <c r="AI197" s="570"/>
      <c r="AJ197" s="570"/>
      <c r="AK197" s="570"/>
      <c r="AL197" s="1645">
        <v>11</v>
      </c>
    </row>
    <row s="1645" customFormat="1" customHeight="1" ht="11.549999999999999">
      <c r="A198" s="991"/>
      <c r="B198" s="1640"/>
      <c r="C198" s="1640"/>
      <c r="D198" s="355"/>
      <c r="J198" s="1645"/>
      <c r="K198" s="1645"/>
      <c r="L198" s="1645"/>
      <c r="M198" s="1645"/>
      <c r="N198" s="1645"/>
      <c r="O198" s="1645"/>
      <c r="Q198" s="1164"/>
      <c r="R198" s="1640"/>
      <c r="S198" s="1640"/>
      <c r="T198" s="1164"/>
      <c r="U198" s="1164"/>
      <c r="V198" s="1164"/>
      <c r="W198" s="1164"/>
      <c r="X198" s="1640"/>
      <c r="Y198" s="1164"/>
      <c r="Z198" s="1164"/>
      <c r="AA198" s="548"/>
      <c r="AB198" s="1164"/>
      <c r="AC198" s="1164"/>
      <c r="AD198" s="1164"/>
      <c r="AE198" s="1164"/>
      <c r="AF198" s="1164"/>
      <c r="AG198" s="1636"/>
      <c r="AH198" s="570"/>
      <c r="AI198" s="570"/>
      <c r="AJ198" s="570"/>
      <c r="AK198" s="570"/>
      <c r="AL198" s="1645">
        <v>11</v>
      </c>
    </row>
    <row s="1645" customFormat="1" customHeight="1" ht="11.549999999999999">
      <c r="A199" s="991"/>
      <c r="B199" s="1640"/>
      <c r="C199" s="1640"/>
      <c r="D199" s="355"/>
      <c r="J199" s="1645"/>
      <c r="K199" s="1645"/>
      <c r="L199" s="1645"/>
      <c r="M199" s="1645"/>
      <c r="N199" s="1645"/>
      <c r="O199" s="1645"/>
      <c r="Q199" s="1164"/>
      <c r="R199" s="1640"/>
      <c r="S199" s="1640"/>
      <c r="T199" s="1164"/>
      <c r="U199" s="1164"/>
      <c r="V199" s="1164"/>
      <c r="W199" s="1164"/>
      <c r="X199" s="1640"/>
      <c r="Y199" s="1164"/>
      <c r="Z199" s="1164"/>
      <c r="AA199" s="548"/>
      <c r="AB199" s="1164"/>
      <c r="AC199" s="1164"/>
      <c r="AD199" s="1164"/>
      <c r="AE199" s="1164"/>
      <c r="AF199" s="1164"/>
      <c r="AG199" s="1636"/>
      <c r="AH199" s="570"/>
      <c r="AI199" s="570"/>
      <c r="AJ199" s="570"/>
      <c r="AK199" s="570"/>
      <c r="AL199" s="1645">
        <v>11</v>
      </c>
    </row>
    <row s="1645" customFormat="1" customHeight="1" ht="11.549999999999999">
      <c r="A200" s="991"/>
      <c r="B200" s="1640"/>
      <c r="C200" s="1640"/>
      <c r="D200" s="355"/>
      <c r="J200" s="1645"/>
      <c r="K200" s="1645"/>
      <c r="L200" s="1645"/>
      <c r="M200" s="1645"/>
      <c r="N200" s="1645"/>
      <c r="O200" s="1645"/>
      <c r="Q200" s="1164"/>
      <c r="R200" s="1640"/>
      <c r="S200" s="1640"/>
      <c r="T200" s="1164"/>
      <c r="U200" s="1164"/>
      <c r="V200" s="1164"/>
      <c r="W200" s="1164"/>
      <c r="X200" s="1640"/>
      <c r="Y200" s="1164"/>
      <c r="Z200" s="1164"/>
      <c r="AA200" s="548"/>
      <c r="AB200" s="1164"/>
      <c r="AC200" s="1164"/>
      <c r="AD200" s="1164"/>
      <c r="AE200" s="1164"/>
      <c r="AF200" s="1164"/>
      <c r="AG200" s="1636"/>
      <c r="AH200" s="570"/>
      <c r="AI200" s="570"/>
      <c r="AJ200" s="570"/>
      <c r="AK200" s="570"/>
      <c r="AL200" s="1645">
        <v>11</v>
      </c>
    </row>
    <row s="1645" customFormat="1" customHeight="1" ht="11.549999999999999">
      <c r="A201" s="991"/>
      <c r="B201" s="1640"/>
      <c r="C201" s="1640"/>
      <c r="D201" s="355"/>
      <c r="J201" s="1645"/>
      <c r="K201" s="1645"/>
      <c r="L201" s="1645"/>
      <c r="M201" s="1645"/>
      <c r="N201" s="1645"/>
      <c r="O201" s="1645"/>
      <c r="Q201" s="1164"/>
      <c r="R201" s="1640"/>
      <c r="S201" s="1640"/>
      <c r="T201" s="1164"/>
      <c r="U201" s="1164"/>
      <c r="V201" s="1164"/>
      <c r="W201" s="1164"/>
      <c r="X201" s="1640"/>
      <c r="Y201" s="1164"/>
      <c r="Z201" s="1164"/>
      <c r="AA201" s="548"/>
      <c r="AB201" s="1164"/>
      <c r="AC201" s="1164"/>
      <c r="AD201" s="1164"/>
      <c r="AE201" s="1164"/>
      <c r="AF201" s="1164"/>
      <c r="AG201" s="1636"/>
      <c r="AH201" s="570"/>
      <c r="AI201" s="570"/>
      <c r="AJ201" s="570"/>
      <c r="AK201" s="570"/>
      <c r="AL201" s="1645">
        <v>11</v>
      </c>
    </row>
    <row s="1645" customFormat="1" customHeight="1" ht="11.549999999999999">
      <c r="A202" s="991"/>
      <c r="B202" s="1640"/>
      <c r="C202" s="1640"/>
      <c r="D202" s="355"/>
      <c r="J202" s="1645"/>
      <c r="K202" s="1645"/>
      <c r="L202" s="1645"/>
      <c r="M202" s="1645"/>
      <c r="N202" s="1645"/>
      <c r="O202" s="1645"/>
      <c r="Q202" s="1164"/>
      <c r="R202" s="1640"/>
      <c r="S202" s="1640"/>
      <c r="T202" s="1164"/>
      <c r="U202" s="1164"/>
      <c r="V202" s="1164"/>
      <c r="W202" s="1164"/>
      <c r="X202" s="1640"/>
      <c r="Y202" s="1164"/>
      <c r="Z202" s="1164"/>
      <c r="AA202" s="548"/>
      <c r="AB202" s="1164"/>
      <c r="AC202" s="1164"/>
      <c r="AD202" s="1164"/>
      <c r="AE202" s="1164"/>
      <c r="AF202" s="1164"/>
      <c r="AG202" s="1636"/>
      <c r="AH202" s="570"/>
      <c r="AI202" s="570"/>
      <c r="AJ202" s="570"/>
      <c r="AK202" s="570"/>
      <c r="AL202" s="1645">
        <v>11</v>
      </c>
    </row>
    <row customHeight="1" ht="11.549999999999999">
      <c r="J203" s="1639"/>
      <c r="K203" s="1639"/>
      <c r="L203" s="1639"/>
      <c r="M203" s="1639"/>
      <c r="N203" s="1639"/>
      <c r="O203" s="1639"/>
      <c r="AL203" s="1635">
        <v>11</v>
      </c>
    </row>
    <row customHeight="1" ht="11.549999999999999">
      <c r="J204" s="1639"/>
      <c r="K204" s="1639"/>
      <c r="L204" s="1639"/>
      <c r="M204" s="1639"/>
      <c r="N204" s="1639"/>
      <c r="O204" s="1639"/>
      <c r="AL204" s="1635">
        <v>11</v>
      </c>
    </row>
    <row customHeight="1" ht="11.549999999999999">
      <c r="J205" s="1639"/>
      <c r="K205" s="1639"/>
      <c r="L205" s="1639"/>
      <c r="M205" s="1639"/>
      <c r="N205" s="1639"/>
      <c r="O205" s="1639"/>
      <c r="AL205" s="1635">
        <v>11</v>
      </c>
    </row>
    <row customHeight="1" ht="11.549999999999999">
      <c r="A206" s="994"/>
      <c r="B206" s="1635"/>
      <c r="D206" s="1635"/>
      <c r="J206" s="1639"/>
      <c r="K206" s="1639"/>
      <c r="L206" s="1639"/>
      <c r="M206" s="1639"/>
      <c r="N206" s="1639"/>
      <c r="O206" s="1639"/>
      <c r="Q206" s="1635"/>
      <c r="T206" s="1635"/>
      <c r="U206" s="1635"/>
      <c r="V206" s="1635"/>
      <c r="W206" s="1635"/>
      <c r="Y206" s="1635"/>
      <c r="Z206" s="1635"/>
      <c r="AA206" s="1635"/>
      <c r="AB206" s="1635"/>
      <c r="AC206" s="1635"/>
      <c r="AD206" s="1635"/>
      <c r="AE206" s="1635"/>
      <c r="AF206" s="1635"/>
      <c r="AG206" s="1635"/>
      <c r="AH206" s="1635"/>
      <c r="AI206" s="1635"/>
      <c r="AJ206" s="1635"/>
      <c r="AK206" s="1635"/>
      <c r="AL206" s="1635">
        <v>11</v>
      </c>
    </row>
    <row customHeight="1" ht="11.549999999999999">
      <c r="A207" s="994"/>
      <c r="B207" s="1635"/>
      <c r="D207" s="1635"/>
      <c r="J207" s="1639"/>
      <c r="K207" s="1639"/>
      <c r="L207" s="1639"/>
      <c r="M207" s="1639"/>
      <c r="N207" s="1639"/>
      <c r="O207" s="1639"/>
      <c r="Q207" s="1635"/>
      <c r="T207" s="1635"/>
      <c r="U207" s="1635"/>
      <c r="V207" s="1635"/>
      <c r="W207" s="1635"/>
      <c r="Y207" s="1635"/>
      <c r="Z207" s="1635"/>
      <c r="AA207" s="1635"/>
      <c r="AB207" s="1635"/>
      <c r="AC207" s="1635"/>
      <c r="AD207" s="1635"/>
      <c r="AE207" s="1635"/>
      <c r="AF207" s="1635"/>
      <c r="AG207" s="1635"/>
      <c r="AH207" s="1635"/>
      <c r="AI207" s="1635"/>
      <c r="AJ207" s="1635"/>
      <c r="AK207" s="1635"/>
      <c r="AL207" s="1635">
        <v>11</v>
      </c>
    </row>
    <row customHeight="1" ht="11.549999999999999">
      <c r="A208" s="994"/>
      <c r="B208" s="1635"/>
      <c r="D208" s="1635"/>
      <c r="J208" s="1639"/>
      <c r="K208" s="1639"/>
      <c r="L208" s="1639"/>
      <c r="M208" s="1639"/>
      <c r="N208" s="1639"/>
      <c r="O208" s="1639"/>
      <c r="Q208" s="1635"/>
      <c r="T208" s="1635"/>
      <c r="U208" s="1635"/>
      <c r="V208" s="1635"/>
      <c r="W208" s="1635"/>
      <c r="Y208" s="1635"/>
      <c r="Z208" s="1635"/>
      <c r="AA208" s="1635"/>
      <c r="AB208" s="1635"/>
      <c r="AC208" s="1635"/>
      <c r="AD208" s="1635"/>
      <c r="AE208" s="1635"/>
      <c r="AF208" s="1635"/>
      <c r="AG208" s="1635"/>
      <c r="AH208" s="1635"/>
      <c r="AI208" s="1635"/>
      <c r="AJ208" s="1635"/>
      <c r="AK208" s="1635"/>
      <c r="AL208" s="1635">
        <v>11</v>
      </c>
    </row>
    <row customHeight="1" ht="11.549999999999999">
      <c r="A209" s="994"/>
      <c r="B209" s="1635"/>
      <c r="D209" s="1635"/>
      <c r="J209" s="1639"/>
      <c r="K209" s="1639"/>
      <c r="L209" s="1639"/>
      <c r="M209" s="1639"/>
      <c r="N209" s="1639"/>
      <c r="O209" s="1639"/>
      <c r="Q209" s="1635"/>
      <c r="T209" s="1635"/>
      <c r="U209" s="1635"/>
      <c r="V209" s="1635"/>
      <c r="W209" s="1635"/>
      <c r="Y209" s="1635"/>
      <c r="Z209" s="1635"/>
      <c r="AA209" s="1635"/>
      <c r="AB209" s="1635"/>
      <c r="AC209" s="1635"/>
      <c r="AD209" s="1635"/>
      <c r="AE209" s="1635"/>
      <c r="AF209" s="1635"/>
      <c r="AG209" s="1635"/>
      <c r="AH209" s="1635"/>
      <c r="AI209" s="1635"/>
      <c r="AJ209" s="1635"/>
      <c r="AK209" s="1635"/>
      <c r="AL209" s="1635">
        <v>11</v>
      </c>
    </row>
    <row customHeight="1" ht="11.549999999999999">
      <c r="A210" s="994"/>
      <c r="B210" s="1635"/>
      <c r="D210" s="1635"/>
      <c r="J210" s="1639"/>
      <c r="K210" s="1639"/>
      <c r="L210" s="1639"/>
      <c r="M210" s="1639"/>
      <c r="N210" s="1639"/>
      <c r="O210" s="1639"/>
      <c r="Q210" s="1635"/>
      <c r="T210" s="1635"/>
      <c r="U210" s="1635"/>
      <c r="V210" s="1635"/>
      <c r="W210" s="1635"/>
      <c r="Y210" s="1635"/>
      <c r="Z210" s="1635"/>
      <c r="AA210" s="1635"/>
      <c r="AB210" s="1635"/>
      <c r="AC210" s="1635"/>
      <c r="AD210" s="1635"/>
      <c r="AE210" s="1635"/>
      <c r="AF210" s="1635"/>
      <c r="AG210" s="1635"/>
      <c r="AH210" s="1635"/>
      <c r="AI210" s="1635"/>
      <c r="AJ210" s="1635"/>
      <c r="AK210" s="1635"/>
      <c r="AL210" s="1635">
        <v>11</v>
      </c>
    </row>
    <row customHeight="1" ht="11.549999999999999">
      <c r="A211" s="994"/>
      <c r="B211" s="1635"/>
      <c r="D211" s="1635"/>
      <c r="J211" s="1639"/>
      <c r="K211" s="1639"/>
      <c r="L211" s="1639"/>
      <c r="M211" s="1639"/>
      <c r="N211" s="1639"/>
      <c r="O211" s="1639"/>
      <c r="Q211" s="1635"/>
      <c r="T211" s="1635"/>
      <c r="U211" s="1635"/>
      <c r="V211" s="1635"/>
      <c r="W211" s="1635"/>
      <c r="Y211" s="1635"/>
      <c r="Z211" s="1635"/>
      <c r="AA211" s="1635"/>
      <c r="AB211" s="1635"/>
      <c r="AC211" s="1635"/>
      <c r="AD211" s="1635"/>
      <c r="AE211" s="1635"/>
      <c r="AF211" s="1635"/>
      <c r="AG211" s="1635"/>
      <c r="AH211" s="1635"/>
      <c r="AI211" s="1635"/>
      <c r="AJ211" s="1635"/>
      <c r="AK211" s="1635"/>
      <c r="AL211" s="1635">
        <v>11</v>
      </c>
    </row>
    <row customHeight="1" ht="11.549999999999999">
      <c r="A212" s="994"/>
      <c r="B212" s="1635"/>
      <c r="D212" s="1635"/>
      <c r="J212" s="1639"/>
      <c r="K212" s="1639"/>
      <c r="L212" s="1639"/>
      <c r="M212" s="1639"/>
      <c r="N212" s="1639"/>
      <c r="O212" s="1639"/>
      <c r="Q212" s="1635"/>
      <c r="T212" s="1635"/>
      <c r="U212" s="1635"/>
      <c r="V212" s="1635"/>
      <c r="W212" s="1635"/>
      <c r="Y212" s="1635"/>
      <c r="Z212" s="1635"/>
      <c r="AA212" s="1635"/>
      <c r="AB212" s="1635"/>
      <c r="AC212" s="1635"/>
      <c r="AD212" s="1635"/>
      <c r="AE212" s="1635"/>
      <c r="AF212" s="1635"/>
      <c r="AG212" s="1635"/>
      <c r="AH212" s="1635"/>
      <c r="AI212" s="1635"/>
      <c r="AJ212" s="1635"/>
      <c r="AK212" s="1635"/>
      <c r="AL212" s="1635">
        <v>11</v>
      </c>
    </row>
    <row customHeight="1" ht="11.549999999999999">
      <c r="A213" s="994"/>
      <c r="B213" s="1635"/>
      <c r="D213" s="1635"/>
      <c r="J213" s="1639"/>
      <c r="K213" s="1639"/>
      <c r="L213" s="1639"/>
      <c r="M213" s="1639"/>
      <c r="N213" s="1639"/>
      <c r="O213" s="1639"/>
      <c r="Q213" s="1635"/>
      <c r="T213" s="1635"/>
      <c r="U213" s="1635"/>
      <c r="V213" s="1635"/>
      <c r="W213" s="1635"/>
      <c r="Y213" s="1635"/>
      <c r="Z213" s="1635"/>
      <c r="AA213" s="1635"/>
      <c r="AB213" s="1635"/>
      <c r="AC213" s="1635"/>
      <c r="AD213" s="1635"/>
      <c r="AE213" s="1635"/>
      <c r="AF213" s="1635"/>
      <c r="AG213" s="1635"/>
      <c r="AH213" s="1635"/>
      <c r="AI213" s="1635"/>
      <c r="AJ213" s="1635"/>
      <c r="AK213" s="1635"/>
      <c r="AL213" s="1635">
        <v>11</v>
      </c>
    </row>
    <row customHeight="1" ht="11.549999999999999">
      <c r="A214" s="994"/>
      <c r="B214" s="1635"/>
      <c r="D214" s="1635"/>
      <c r="J214" s="1639"/>
      <c r="K214" s="1639"/>
      <c r="L214" s="1639"/>
      <c r="M214" s="1639"/>
      <c r="N214" s="1639"/>
      <c r="O214" s="1639"/>
      <c r="Q214" s="1635"/>
      <c r="T214" s="1635"/>
      <c r="U214" s="1635"/>
      <c r="V214" s="1635"/>
      <c r="W214" s="1635"/>
      <c r="Y214" s="1635"/>
      <c r="Z214" s="1635"/>
      <c r="AA214" s="1635"/>
      <c r="AB214" s="1635"/>
      <c r="AC214" s="1635"/>
      <c r="AD214" s="1635"/>
      <c r="AE214" s="1635"/>
      <c r="AF214" s="1635"/>
      <c r="AG214" s="1635"/>
      <c r="AH214" s="1635"/>
      <c r="AI214" s="1635"/>
      <c r="AJ214" s="1635"/>
      <c r="AK214" s="1635"/>
      <c r="AL214" s="1635">
        <v>11</v>
      </c>
    </row>
    <row customHeight="1" ht="11.549999999999999">
      <c r="A215" s="994"/>
      <c r="B215" s="1635"/>
      <c r="D215" s="1635"/>
      <c r="J215" s="1639"/>
      <c r="K215" s="1639"/>
      <c r="L215" s="1639"/>
      <c r="M215" s="1639"/>
      <c r="N215" s="1639"/>
      <c r="O215" s="1639"/>
      <c r="Q215" s="1635"/>
      <c r="T215" s="1635"/>
      <c r="U215" s="1635"/>
      <c r="V215" s="1635"/>
      <c r="W215" s="1635"/>
      <c r="Y215" s="1635"/>
      <c r="Z215" s="1635"/>
      <c r="AA215" s="1635"/>
      <c r="AB215" s="1635"/>
      <c r="AC215" s="1635"/>
      <c r="AD215" s="1635"/>
      <c r="AE215" s="1635"/>
      <c r="AF215" s="1635"/>
      <c r="AG215" s="1635"/>
      <c r="AH215" s="1635"/>
      <c r="AI215" s="1635"/>
      <c r="AJ215" s="1635"/>
      <c r="AK215" s="1635"/>
      <c r="AL215" s="1635">
        <v>11</v>
      </c>
    </row>
    <row customHeight="1" ht="11.549999999999999">
      <c r="A216" s="994"/>
      <c r="B216" s="1635"/>
      <c r="D216" s="1635"/>
      <c r="J216" s="1639"/>
      <c r="K216" s="1639"/>
      <c r="L216" s="1639"/>
      <c r="M216" s="1639"/>
      <c r="N216" s="1639"/>
      <c r="O216" s="1639"/>
      <c r="Q216" s="1635"/>
      <c r="T216" s="1635"/>
      <c r="U216" s="1635"/>
      <c r="V216" s="1635"/>
      <c r="W216" s="1635"/>
      <c r="Y216" s="1635"/>
      <c r="Z216" s="1635"/>
      <c r="AA216" s="1635"/>
      <c r="AB216" s="1635"/>
      <c r="AC216" s="1635"/>
      <c r="AD216" s="1635"/>
      <c r="AE216" s="1635"/>
      <c r="AF216" s="1635"/>
      <c r="AG216" s="1635"/>
      <c r="AH216" s="1635"/>
      <c r="AI216" s="1635"/>
      <c r="AJ216" s="1635"/>
      <c r="AK216" s="1635"/>
      <c r="AL216" s="1635">
        <v>11</v>
      </c>
    </row>
    <row customHeight="1" ht="11.25" hidden="1">
      <c r="A217" s="991" t="s">
        <v>82</v>
      </c>
      <c r="B217" s="1164">
        <v>0</v>
      </c>
      <c r="C217" s="1640">
        <v>0</v>
      </c>
      <c r="D217" s="1639">
        <v>3</v>
      </c>
      <c r="E217" s="1635">
        <v>7</v>
      </c>
      <c r="F217" s="1635">
        <v>56</v>
      </c>
      <c r="G217" s="1635">
        <v>10</v>
      </c>
      <c r="H217" s="1635">
        <v>0</v>
      </c>
      <c r="I217" s="1635">
        <v>40</v>
      </c>
      <c r="J217" s="1639">
        <v>0</v>
      </c>
      <c r="K217" s="1639">
        <v>0</v>
      </c>
      <c r="L217" s="1639">
        <v>0</v>
      </c>
      <c r="M217" s="1639">
        <v>0</v>
      </c>
      <c r="N217" s="1639">
        <v>0</v>
      </c>
      <c r="O217" s="1639">
        <v>0</v>
      </c>
      <c r="P217" s="1635">
        <v>102</v>
      </c>
      <c r="Q217" s="1164">
        <v>9</v>
      </c>
      <c r="R217" s="1640">
        <v>5</v>
      </c>
      <c r="S217" s="1640">
        <v>3</v>
      </c>
      <c r="T217" s="1164">
        <v>3</v>
      </c>
      <c r="U217" s="1164">
        <v>3</v>
      </c>
      <c r="V217" s="1164">
        <v>3</v>
      </c>
      <c r="W217" s="1164">
        <v>3</v>
      </c>
      <c r="X217" s="1640">
        <v>10</v>
      </c>
      <c r="Y217" s="1164">
        <v>34</v>
      </c>
      <c r="Z217" s="1164">
        <v>9</v>
      </c>
      <c r="AA217" s="548">
        <v>8</v>
      </c>
      <c r="AB217" s="1164">
        <v>8</v>
      </c>
      <c r="AC217" s="1164">
        <v>8</v>
      </c>
      <c r="AD217" s="1164">
        <v>8</v>
      </c>
      <c r="AE217" s="1164">
        <v>8</v>
      </c>
      <c r="AF217" s="1164">
        <v>8</v>
      </c>
      <c r="AG217" s="1636">
        <v>8</v>
      </c>
      <c r="AH217" s="1636">
        <v>8</v>
      </c>
      <c r="AI217" s="1636">
        <v>8</v>
      </c>
      <c r="AJ217" s="1636">
        <v>8</v>
      </c>
      <c r="AK217" s="1636">
        <v>8</v>
      </c>
      <c r="AL217" s="1635">
        <v>11</v>
      </c>
    </row>
  </sheetData>
  <sheetProtection formatColumns="0" formatRows="0" autoFilter="0" sort="0" insertRows="0" insertColumns="1" deleteRows="0" deleteColumns="0"/>
  <mergeCells count="7">
    <mergeCell ref="E6:I6"/>
    <mergeCell ref="E7:I7"/>
    <mergeCell ref="F10:G10"/>
    <mergeCell ref="P10:P14"/>
    <mergeCell ref="F11:G11"/>
    <mergeCell ref="F12:G12"/>
    <mergeCell ref="E13:G13"/>
  </mergeCells>
  <dataValidations count="5">
    <dataValidation type="decimal" allowBlank="1" showErrorMessage="1" errorTitle="Ошибка" error="Допускается ввод только действительных чисел!" sqref="H40:O42">
      <formula1>-9.99999999999999E+37</formula1>
      <formula2>9.99999999999999E+37</formula2>
    </dataValidation>
    <dataValidation type="decimal" allowBlank="1" showErrorMessage="1" errorTitle="Ошибка" error="Допускается ввод только действительных чисел!" sqref="H36: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O43">
      <formula1>900</formula1>
    </dataValidation>
    <dataValidation type="decimal" allowBlank="1" showErrorMessage="1" errorTitle="Ошибка" error="Допускается ввод только неотрицательных чисел!" sqref="H38:O39 H2:O2 H15:O15 H17:O32 H35:O35 H44:O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O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344859-9378-2E44-C288-2EA1897BF8B7}" mc:Ignorable="x14ac xr xr2 xr3">
  <sheetPr>
    <tabColor theme="9" tint="-0.25"/>
  </sheetPr>
  <dimension ref="A1:AL210"/>
  <sheetViews>
    <sheetView showGridLines="0" zoomScale="90" workbookViewId="0">
      <pane xSplit="8" ySplit="14" topLeftCell="R15" activePane="bottomRight" state="frozen"/>
      <selection pane="bottomLeft" activeCell="A15" sqref="A15"/>
      <selection pane="topRight" activeCell="I1" sqref="I1"/>
      <selection pane="bottomRight" activeCell="R9" sqref="R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00390625" customWidth="1"/>
    <col min="10" max="15" style="1639" width="40.7109375" customWidth="1"/>
    <col min="16" max="16" style="1639" width="102.00390625" customWidth="1"/>
    <col min="17" max="17" style="1370" width="9.00390625" customWidth="1"/>
    <col min="18" max="18" style="1646" width="5.00390625" customWidth="1"/>
    <col min="19" max="19" style="1646" width="3.00390625" customWidth="1"/>
    <col min="20" max="23" style="1370" width="3.00390625" customWidth="1"/>
    <col min="24" max="24" style="1646" width="10.00390625" customWidth="1"/>
    <col min="25" max="25" style="1370" width="34.00390625" customWidth="1"/>
    <col min="26" max="26" style="1370" width="9.00390625" customWidth="1"/>
    <col min="27" max="27" style="740" width="8.00390625" customWidth="1"/>
    <col min="28" max="32" style="1370" width="8.00390625" customWidth="1"/>
    <col min="33" max="37" style="1636" width="8.00390625" customWidth="1"/>
    <col min="38" max="38" style="1639" width="9.140625" hidden="1"/>
  </cols>
  <sheetData>
    <row s="1370" customFormat="1" customHeight="1" ht="22.5" hidden="1">
      <c r="A1" s="991"/>
      <c r="C1" s="1640"/>
      <c r="D1" s="541"/>
      <c r="H1" s="1164">
        <v>4</v>
      </c>
      <c r="I1" s="1164">
        <v>4</v>
      </c>
      <c r="J1" s="1370" t="s">
        <v>90</v>
      </c>
      <c r="K1" s="1370" t="s">
        <v>90</v>
      </c>
      <c r="L1" s="1370">
        <v>4</v>
      </c>
      <c r="M1" s="1370">
        <v>4</v>
      </c>
      <c r="N1" s="1370">
        <v>4</v>
      </c>
      <c r="O1" s="1370">
        <v>4</v>
      </c>
      <c r="R1" s="1640"/>
      <c r="S1" s="1640"/>
      <c r="X1" s="1640"/>
      <c r="AL1" s="1164" t="s">
        <v>14</v>
      </c>
    </row>
    <row s="1370" customFormat="1" customHeight="1" ht="22.5" hidden="1">
      <c r="A2" s="991"/>
      <c r="C2" s="1640"/>
      <c r="D2" s="542"/>
      <c r="E2" s="1662"/>
      <c r="F2" s="544"/>
      <c r="G2" s="1661" t="s">
        <v>570</v>
      </c>
      <c r="H2" s="545"/>
      <c r="I2" s="545"/>
      <c r="J2" s="755"/>
      <c r="K2" s="755"/>
      <c r="L2" s="755"/>
      <c r="M2" s="755"/>
      <c r="N2" s="755"/>
      <c r="O2" s="755"/>
      <c r="P2" s="546" t="s">
        <v>573</v>
      </c>
      <c r="Q2" s="547"/>
      <c r="R2" s="1640"/>
      <c r="S2" s="1640"/>
      <c r="X2" s="1640"/>
      <c r="AA2" s="548"/>
      <c r="AG2" s="1636"/>
      <c r="AH2" s="1636"/>
      <c r="AI2" s="1636"/>
      <c r="AJ2" s="1636"/>
      <c r="AK2" s="1636"/>
      <c r="AL2" s="1164">
        <v>0</v>
      </c>
    </row>
    <row customHeight="1" ht="11.25" hidden="1">
      <c r="J3" s="1639"/>
      <c r="K3" s="1639"/>
      <c r="L3" s="1639"/>
      <c r="M3" s="1639"/>
      <c r="N3" s="1639"/>
      <c r="O3" s="1639"/>
      <c r="AL3" s="1635">
        <v>0</v>
      </c>
    </row>
    <row s="1636" customFormat="1" customHeight="1" ht="11.25" hidden="1">
      <c r="A4" s="991"/>
      <c r="B4" s="1164"/>
      <c r="C4" s="1640"/>
      <c r="D4" s="366"/>
      <c r="J4" s="1636"/>
      <c r="K4" s="1636"/>
      <c r="L4" s="1636"/>
      <c r="M4" s="1636"/>
      <c r="N4" s="1636"/>
      <c r="O4" s="1636"/>
      <c r="P4" s="1636">
        <v>4</v>
      </c>
      <c r="Q4" s="1164"/>
      <c r="R4" s="1640"/>
      <c r="S4" s="1640"/>
      <c r="T4" s="1164"/>
      <c r="U4" s="1164"/>
      <c r="V4" s="1164"/>
      <c r="W4" s="1164"/>
      <c r="X4" s="1640"/>
      <c r="Y4" s="1164"/>
      <c r="Z4" s="1164"/>
      <c r="AA4" s="548"/>
      <c r="AB4" s="1164"/>
      <c r="AC4" s="1164"/>
      <c r="AD4" s="1164"/>
      <c r="AE4" s="1164"/>
      <c r="AF4" s="1164"/>
      <c r="AL4" s="1636">
        <v>0</v>
      </c>
    </row>
    <row customHeight="1" ht="11.549999999999999">
      <c r="J5" s="1639"/>
      <c r="K5" s="1639"/>
      <c r="L5" s="1639"/>
      <c r="M5" s="1639"/>
      <c r="N5" s="1639"/>
      <c r="O5" s="1639"/>
      <c r="AL5" s="1635">
        <v>11</v>
      </c>
    </row>
    <row customHeight="1" ht="33.75">
      <c r="E6" s="2252" t="s">
        <v>1035</v>
      </c>
      <c r="F6" s="2252"/>
      <c r="G6" s="2252"/>
      <c r="H6" s="2252"/>
      <c r="I6" s="2252"/>
      <c r="J6" s="2252"/>
      <c r="K6" s="2252"/>
      <c r="L6" s="2252"/>
      <c r="M6" s="2252"/>
      <c r="N6" s="2252"/>
      <c r="O6" s="2252"/>
      <c r="P6" s="560"/>
      <c r="AL6" s="1635">
        <v>32</v>
      </c>
    </row>
    <row customHeight="1" ht="25.2">
      <c r="E7" s="2253" t="str">
        <f>IF(org=0,"Не определено",org)</f>
        <v>АО "Теплоэнерго"</v>
      </c>
      <c r="F7" s="2253"/>
      <c r="G7" s="2253"/>
      <c r="H7" s="2253"/>
      <c r="I7" s="2253"/>
      <c r="J7" s="2253"/>
      <c r="K7" s="2253"/>
      <c r="L7" s="2253"/>
      <c r="M7" s="2253"/>
      <c r="N7" s="2253"/>
      <c r="O7" s="2253"/>
      <c r="AL7" s="1635">
        <v>24</v>
      </c>
    </row>
    <row customHeight="1" ht="11.549999999999999">
      <c r="E8" s="1139"/>
      <c r="F8" s="1139"/>
      <c r="G8" s="1139"/>
      <c r="H8" s="1139"/>
      <c r="I8" s="1139"/>
      <c r="J8" s="1140" t="s">
        <v>22</v>
      </c>
      <c r="K8" s="1140" t="s">
        <v>22</v>
      </c>
      <c r="L8" s="1140" t="s">
        <v>22</v>
      </c>
      <c r="M8" s="1140" t="s">
        <v>22</v>
      </c>
      <c r="N8" s="1140" t="s">
        <v>22</v>
      </c>
      <c r="O8" s="1140" t="s">
        <v>22</v>
      </c>
      <c r="AL8" s="1635">
        <v>11</v>
      </c>
    </row>
    <row s="1646" customFormat="1" customHeight="1" ht="1.05">
      <c r="A9" s="1171"/>
      <c r="D9" s="1646"/>
      <c r="H9" s="893"/>
      <c r="I9" s="893" t="s">
        <v>126</v>
      </c>
      <c r="J9" s="893" t="s">
        <v>130</v>
      </c>
      <c r="K9" s="893" t="s">
        <v>132</v>
      </c>
      <c r="L9" s="893" t="s">
        <v>134</v>
      </c>
      <c r="M9" s="893" t="s">
        <v>137</v>
      </c>
      <c r="N9" s="893" t="s">
        <v>136</v>
      </c>
      <c r="O9" s="893" t="s">
        <v>139</v>
      </c>
      <c r="AL9" s="1640">
        <v>1</v>
      </c>
    </row>
    <row customHeight="1" ht="11.549999999999999">
      <c r="E10" s="715"/>
      <c r="F10" s="2371" t="s">
        <v>115</v>
      </c>
      <c r="G10" s="2372"/>
      <c r="H10" s="1663" t="str">
        <f>IF(H9="","",INDEX(DIFFERENTIATION_UNMERGE_VD,MATCH(H9,DIFFERENTIATION_ID_DIFF,0)))</f>
        <v/>
      </c>
      <c r="I10" s="1663"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397"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397" t="str">
        <f>IF(K9="","",INDEX(DIFFERENTIATION_UNMERGE_VD,MATCH(K9,DIFFERENTIATION_ID_DIFF,0)))</f>
        <v>Производство тепловой энергии. Некомбинированная выработка; Передача. Тепловая энергия</v>
      </c>
      <c r="L10" s="2397" t="str">
        <f>IF(L9="","",INDEX(DIFFERENTIATION_UNMERGE_VD,MATCH(L9,DIFFERENTIATION_ID_DIFF,0)))</f>
        <v>Производство. Теплоноситель</v>
      </c>
      <c r="M10" s="2397" t="str">
        <f>IF(M9="","",INDEX(DIFFERENTIATION_UNMERGE_VD,MATCH(M9,DIFFERENTIATION_ID_DIFF,0)))</f>
        <v>Подключение (технологическое присоединение) к системе теплоснабжения</v>
      </c>
      <c r="N10" s="2397" t="str">
        <f>IF(N9="","",INDEX(DIFFERENTIATION_UNMERGE_VD,MATCH(N9,DIFFERENTIATION_ID_DIFF,0)))</f>
        <v>Производство. Теплоноситель</v>
      </c>
      <c r="O10" s="2397" t="str">
        <f>IF(O9="","",INDEX(DIFFERENTIATION_UNMERGE_VD,MATCH(O9,DIFFERENTIATION_ID_DIFF,0)))</f>
        <v>Поддержание резервной тепловой мощности при отсутствии потребления тепловой энергии</v>
      </c>
      <c r="P10" s="2131"/>
      <c r="AL10" s="1635">
        <v>11</v>
      </c>
    </row>
    <row customHeight="1" ht="11.549999999999999">
      <c r="E11" s="715"/>
      <c r="F11" s="2371" t="s">
        <v>582</v>
      </c>
      <c r="G11" s="2372"/>
      <c r="H11" s="1663" t="str">
        <f>IF(H9="","",INDEX(DIFFERENTIATION_UNMERGE_AREA,MATCH(H9,DIFFERENTIATION_ID_DIFF,0)))</f>
        <v/>
      </c>
      <c r="I11" s="1663" t="str">
        <f>IF(I9="","",INDEX(DIFFERENTIATION_UNMERGE_AREA,MATCH(I9,DIFFERENTIATION_ID_DIFF,0)))</f>
        <v>Территория 1</v>
      </c>
      <c r="J11" s="2397" t="str">
        <f>IF(J9="","",INDEX(DIFFERENTIATION_UNMERGE_AREA,MATCH(J9,DIFFERENTIATION_ID_DIFF,0)))</f>
        <v>Территория 3</v>
      </c>
      <c r="K11" s="2397" t="str">
        <f>IF(K9="","",INDEX(DIFFERENTIATION_UNMERGE_AREA,MATCH(K9,DIFFERENTIATION_ID_DIFF,0)))</f>
        <v>Территория 2</v>
      </c>
      <c r="L11" s="2397" t="str">
        <f>IF(L9="","",INDEX(DIFFERENTIATION_UNMERGE_AREA,MATCH(L9,DIFFERENTIATION_ID_DIFF,0)))</f>
        <v>Территория 1</v>
      </c>
      <c r="M11" s="2397" t="str">
        <f>IF(M9="","",INDEX(DIFFERENTIATION_UNMERGE_AREA,MATCH(M9,DIFFERENTIATION_ID_DIFF,0)))</f>
        <v>Территория 1</v>
      </c>
      <c r="N11" s="2397" t="str">
        <f>IF(N9="","",INDEX(DIFFERENTIATION_UNMERGE_AREA,MATCH(N9,DIFFERENTIATION_ID_DIFF,0)))</f>
        <v>Территория 2</v>
      </c>
      <c r="O11" s="2397" t="str">
        <f>IF(O9="","",INDEX(DIFFERENTIATION_UNMERGE_AREA,MATCH(O9,DIFFERENTIATION_ID_DIFF,0)))</f>
        <v>Территория 1</v>
      </c>
      <c r="P11" s="2131"/>
      <c r="AL11" s="1635">
        <v>11</v>
      </c>
    </row>
    <row customHeight="1" ht="11.25" hidden="1">
      <c r="E12" s="1666"/>
      <c r="F12" s="2394" t="s">
        <v>583</v>
      </c>
      <c r="G12" s="2395"/>
      <c r="H12" s="1667" t="str">
        <f>IF(H9="","",INDEX(DIFFERENTIATION_UNMERGE_SYSTEM,MATCH(H9,DIFFERENTIATION_ID_DIFF,0)))</f>
        <v/>
      </c>
      <c r="I12" s="1667" t="str">
        <f>IF(I9="","",INDEX(DIFFERENTIATION_UNMERGE_SYSTEM,MATCH(I9,DIFFERENTIATION_ID_DIFF,0)))</f>
        <v>без дифференциации</v>
      </c>
      <c r="J12" s="1667" t="str">
        <f>IF(J9="","",INDEX(DIFFERENTIATION_UNMERGE_SYSTEM,MATCH(J9,DIFFERENTIATION_ID_DIFF,0)))</f>
        <v>без дифференциации</v>
      </c>
      <c r="K12" s="1667" t="str">
        <f>IF(K9="","",INDEX(DIFFERENTIATION_UNMERGE_SYSTEM,MATCH(K9,DIFFERENTIATION_ID_DIFF,0)))</f>
        <v>без дифференциации</v>
      </c>
      <c r="L12" s="1667" t="str">
        <f>IF(L9="","",INDEX(DIFFERENTIATION_UNMERGE_SYSTEM,MATCH(L9,DIFFERENTIATION_ID_DIFF,0)))</f>
        <v>без дифференциации</v>
      </c>
      <c r="M12" s="1667" t="str">
        <f>IF(M9="","",INDEX(DIFFERENTIATION_UNMERGE_SYSTEM,MATCH(M9,DIFFERENTIATION_ID_DIFF,0)))</f>
        <v>без дифференциации</v>
      </c>
      <c r="N12" s="1667" t="str">
        <f>IF(N9="","",INDEX(DIFFERENTIATION_UNMERGE_SYSTEM,MATCH(N9,DIFFERENTIATION_ID_DIFF,0)))</f>
        <v>без дифференциации</v>
      </c>
      <c r="O12" s="1667" t="str">
        <f>IF(O9="","",INDEX(DIFFERENTIATION_UNMERGE_SYSTEM,MATCH(O9,DIFFERENTIATION_ID_DIFF,0)))</f>
        <v>без дифференциации</v>
      </c>
      <c r="P12" s="2131"/>
      <c r="AL12" s="1635">
        <v>0</v>
      </c>
    </row>
    <row customHeight="1" ht="11.549999999999999">
      <c r="E13" s="2373" t="s">
        <v>318</v>
      </c>
      <c r="F13" s="2374"/>
      <c r="G13" s="2374"/>
      <c r="H13" s="1660"/>
      <c r="I13" s="1660"/>
      <c r="J13" s="2371"/>
      <c r="K13" s="2371"/>
      <c r="L13" s="2371"/>
      <c r="M13" s="2371"/>
      <c r="N13" s="2371"/>
      <c r="O13" s="2371"/>
      <c r="P13" s="2131"/>
      <c r="AL13" s="1635">
        <v>11</v>
      </c>
    </row>
    <row customHeight="1" ht="24">
      <c r="E14" s="1661" t="s">
        <v>88</v>
      </c>
      <c r="F14" s="1664" t="s">
        <v>320</v>
      </c>
      <c r="G14" s="1664" t="s">
        <v>584</v>
      </c>
      <c r="H14" s="1664" t="s">
        <v>321</v>
      </c>
      <c r="I14" s="1664" t="s">
        <v>321</v>
      </c>
      <c r="J14" s="2370" t="s">
        <v>321</v>
      </c>
      <c r="K14" s="2370" t="s">
        <v>321</v>
      </c>
      <c r="L14" s="2370" t="s">
        <v>321</v>
      </c>
      <c r="M14" s="2370" t="s">
        <v>321</v>
      </c>
      <c r="N14" s="2370" t="s">
        <v>321</v>
      </c>
      <c r="O14" s="2370" t="s">
        <v>321</v>
      </c>
      <c r="P14" s="2131"/>
      <c r="AL14" s="1635">
        <v>23</v>
      </c>
    </row>
    <row customHeight="1" ht="19.95">
      <c r="D15" s="1642"/>
      <c r="E15" s="1634" t="s">
        <v>119</v>
      </c>
      <c r="F15" s="711" t="s">
        <v>1036</v>
      </c>
      <c r="G15" s="1661" t="s">
        <v>570</v>
      </c>
      <c r="H15" s="561"/>
      <c r="I15" s="561"/>
      <c r="J15" s="561"/>
      <c r="K15" s="561"/>
      <c r="L15" s="561"/>
      <c r="M15" s="561"/>
      <c r="N15" s="561"/>
      <c r="O15" s="561"/>
      <c r="P15" s="293" t="s">
        <v>1037</v>
      </c>
      <c r="Q15" s="547" t="s">
        <v>891</v>
      </c>
      <c r="AL15" s="1635">
        <v>19</v>
      </c>
    </row>
    <row customHeight="1" ht="24">
      <c r="D16" s="1642"/>
      <c r="E16" s="1634" t="s">
        <v>103</v>
      </c>
      <c r="F16" s="1669" t="s">
        <v>1038</v>
      </c>
      <c r="G16" s="1661" t="s">
        <v>570</v>
      </c>
      <c r="H16" s="562">
        <f>SUM(H17,H20:H27)</f>
        <v>0</v>
      </c>
      <c r="I16" s="562">
        <f>SUM(I17,I20:I27)</f>
        <v>0</v>
      </c>
      <c r="J16" s="562">
        <f>SUM(J17,J20:J27)</f>
        <v>0</v>
      </c>
      <c r="K16" s="562">
        <f>SUM(K17,K20:K27)</f>
        <v>0</v>
      </c>
      <c r="L16" s="562">
        <f>SUM(L17,L20:L27)</f>
        <v>0</v>
      </c>
      <c r="M16" s="562">
        <f>SUM(M17,M20:M27)</f>
        <v>0</v>
      </c>
      <c r="N16" s="562">
        <f>SUM(N17,N20:N27)</f>
        <v>0</v>
      </c>
      <c r="O16" s="562">
        <f>SUM(O17,O20:O27)</f>
        <v>0</v>
      </c>
      <c r="P16" s="293" t="s">
        <v>1039</v>
      </c>
      <c r="Q16" s="547" t="s">
        <v>891</v>
      </c>
      <c r="AL16" s="1635">
        <v>23</v>
      </c>
    </row>
    <row customHeight="1" ht="35.699999999999996">
      <c r="D17" s="1642"/>
      <c r="E17" s="1668" t="s">
        <v>969</v>
      </c>
      <c r="F17" s="1671" t="s">
        <v>1040</v>
      </c>
      <c r="G17" s="1658" t="s">
        <v>570</v>
      </c>
      <c r="H17" s="561"/>
      <c r="I17" s="561"/>
      <c r="J17" s="561"/>
      <c r="K17" s="561"/>
      <c r="L17" s="561"/>
      <c r="M17" s="561"/>
      <c r="N17" s="561"/>
      <c r="O17" s="561"/>
      <c r="P17" s="293" t="s">
        <v>1041</v>
      </c>
      <c r="Q17" s="547"/>
      <c r="AL17" s="1635">
        <v>34</v>
      </c>
    </row>
    <row customHeight="1" ht="19.95">
      <c r="D18" s="1642"/>
      <c r="E18" s="1668" t="s">
        <v>972</v>
      </c>
      <c r="F18" s="1672" t="s">
        <v>1042</v>
      </c>
      <c r="G18" s="1658" t="s">
        <v>570</v>
      </c>
      <c r="H18" s="561"/>
      <c r="I18" s="561"/>
      <c r="J18" s="561"/>
      <c r="K18" s="561"/>
      <c r="L18" s="561"/>
      <c r="M18" s="561"/>
      <c r="N18" s="561"/>
      <c r="O18" s="561"/>
      <c r="P18" s="293"/>
      <c r="Q18" s="547"/>
      <c r="AL18" s="1635">
        <v>19</v>
      </c>
    </row>
    <row customHeight="1" ht="24">
      <c r="D19" s="1642"/>
      <c r="E19" s="1668" t="s">
        <v>975</v>
      </c>
      <c r="F19" s="1672" t="s">
        <v>1043</v>
      </c>
      <c r="G19" s="1658" t="s">
        <v>570</v>
      </c>
      <c r="H19" s="561"/>
      <c r="I19" s="561"/>
      <c r="J19" s="561"/>
      <c r="K19" s="561"/>
      <c r="L19" s="561"/>
      <c r="M19" s="561"/>
      <c r="N19" s="561"/>
      <c r="O19" s="561"/>
      <c r="P19" s="293"/>
      <c r="Q19" s="547"/>
      <c r="AL19" s="1635">
        <v>23</v>
      </c>
    </row>
    <row customHeight="1" ht="35.699999999999996">
      <c r="D20" s="1642"/>
      <c r="E20" s="1668" t="s">
        <v>325</v>
      </c>
      <c r="F20" s="1671" t="s">
        <v>1044</v>
      </c>
      <c r="G20" s="1658" t="s">
        <v>570</v>
      </c>
      <c r="H20" s="561"/>
      <c r="I20" s="561"/>
      <c r="J20" s="561"/>
      <c r="K20" s="561"/>
      <c r="L20" s="561"/>
      <c r="M20" s="561"/>
      <c r="N20" s="561"/>
      <c r="O20" s="561"/>
      <c r="P20" s="293"/>
      <c r="Q20" s="547"/>
      <c r="AL20" s="1635">
        <v>34</v>
      </c>
    </row>
    <row customHeight="1" ht="48.29999999999999">
      <c r="D21" s="1642"/>
      <c r="E21" s="1668" t="s">
        <v>328</v>
      </c>
      <c r="F21" s="1671" t="s">
        <v>1045</v>
      </c>
      <c r="G21" s="1658" t="s">
        <v>570</v>
      </c>
      <c r="H21" s="561"/>
      <c r="I21" s="561"/>
      <c r="J21" s="561"/>
      <c r="K21" s="561"/>
      <c r="L21" s="561"/>
      <c r="M21" s="561"/>
      <c r="N21" s="561"/>
      <c r="O21" s="561"/>
      <c r="P21" s="293"/>
      <c r="Q21" s="547"/>
      <c r="AL21" s="1635">
        <v>46</v>
      </c>
    </row>
    <row customHeight="1" ht="60">
      <c r="D22" s="1642"/>
      <c r="E22" s="1668" t="s">
        <v>989</v>
      </c>
      <c r="F22" s="1671" t="s">
        <v>1046</v>
      </c>
      <c r="G22" s="1658" t="s">
        <v>570</v>
      </c>
      <c r="H22" s="561"/>
      <c r="I22" s="561"/>
      <c r="J22" s="561"/>
      <c r="K22" s="561"/>
      <c r="L22" s="561"/>
      <c r="M22" s="561"/>
      <c r="N22" s="561"/>
      <c r="O22" s="561"/>
      <c r="P22" s="293"/>
      <c r="Q22" s="547"/>
      <c r="AL22" s="1635">
        <v>57</v>
      </c>
    </row>
    <row customHeight="1" ht="35.699999999999996">
      <c r="D23" s="1642"/>
      <c r="E23" s="1668" t="s">
        <v>996</v>
      </c>
      <c r="F23" s="1671" t="s">
        <v>1047</v>
      </c>
      <c r="G23" s="1658" t="s">
        <v>570</v>
      </c>
      <c r="H23" s="561"/>
      <c r="I23" s="561"/>
      <c r="J23" s="561"/>
      <c r="K23" s="561"/>
      <c r="L23" s="561"/>
      <c r="M23" s="561"/>
      <c r="N23" s="561"/>
      <c r="O23" s="561"/>
      <c r="P23" s="293"/>
      <c r="Q23" s="547"/>
      <c r="AL23" s="1635">
        <v>34</v>
      </c>
    </row>
    <row customHeight="1" ht="35.699999999999996">
      <c r="D24" s="1642"/>
      <c r="E24" s="1668" t="s">
        <v>998</v>
      </c>
      <c r="F24" s="1671" t="s">
        <v>1048</v>
      </c>
      <c r="G24" s="1658" t="s">
        <v>570</v>
      </c>
      <c r="H24" s="561"/>
      <c r="I24" s="561"/>
      <c r="J24" s="561"/>
      <c r="K24" s="561"/>
      <c r="L24" s="561"/>
      <c r="M24" s="561"/>
      <c r="N24" s="561"/>
      <c r="O24" s="561"/>
      <c r="P24" s="293"/>
      <c r="Q24" s="547"/>
      <c r="AL24" s="1635">
        <v>34</v>
      </c>
    </row>
    <row customHeight="1" ht="24">
      <c r="D25" s="1642"/>
      <c r="E25" s="1668" t="s">
        <v>1000</v>
      </c>
      <c r="F25" s="1671" t="s">
        <v>1049</v>
      </c>
      <c r="G25" s="1658" t="s">
        <v>570</v>
      </c>
      <c r="H25" s="561"/>
      <c r="I25" s="561"/>
      <c r="J25" s="561"/>
      <c r="K25" s="561"/>
      <c r="L25" s="561"/>
      <c r="M25" s="561"/>
      <c r="N25" s="561"/>
      <c r="O25" s="561"/>
      <c r="P25" s="293"/>
      <c r="Q25" s="547"/>
      <c r="AL25" s="1635">
        <v>23</v>
      </c>
    </row>
    <row customHeight="1" ht="76.5">
      <c r="D26" s="1642"/>
      <c r="E26" s="1668" t="s">
        <v>1002</v>
      </c>
      <c r="F26" s="1671" t="s">
        <v>1050</v>
      </c>
      <c r="G26" s="1658" t="s">
        <v>570</v>
      </c>
      <c r="H26" s="561"/>
      <c r="I26" s="561"/>
      <c r="J26" s="561"/>
      <c r="K26" s="561"/>
      <c r="L26" s="561"/>
      <c r="M26" s="561"/>
      <c r="N26" s="561"/>
      <c r="O26" s="561"/>
      <c r="P26" s="293"/>
      <c r="Q26" s="547"/>
      <c r="AL26" s="1635">
        <v>73</v>
      </c>
    </row>
    <row s="1370" customFormat="1" customHeight="1" ht="35.699999999999996">
      <c r="A27" s="991"/>
      <c r="C27" s="1640"/>
      <c r="D27" s="1642"/>
      <c r="E27" s="1633" t="s">
        <v>1006</v>
      </c>
      <c r="F27" s="1632" t="s">
        <v>1051</v>
      </c>
      <c r="G27" s="1659" t="s">
        <v>570</v>
      </c>
      <c r="H27" s="583">
        <f>SUM(H28:H29)</f>
        <v>0</v>
      </c>
      <c r="I27" s="583">
        <f>SUM(I28:I29)</f>
        <v>0</v>
      </c>
      <c r="J27" s="583">
        <f>SUM(J28:J29)</f>
        <v>0</v>
      </c>
      <c r="K27" s="583">
        <f>SUM(K28:K29)</f>
        <v>0</v>
      </c>
      <c r="L27" s="583">
        <f>SUM(L28:L29)</f>
        <v>0</v>
      </c>
      <c r="M27" s="583">
        <f>SUM(M28:M29)</f>
        <v>0</v>
      </c>
      <c r="N27" s="583">
        <f>SUM(N28:N29)</f>
        <v>0</v>
      </c>
      <c r="O27" s="583">
        <f>SUM(O28:O29)</f>
        <v>0</v>
      </c>
      <c r="P27" s="293" t="s">
        <v>1004</v>
      </c>
      <c r="Q27" s="547"/>
      <c r="R27" s="1640"/>
      <c r="S27" s="1640"/>
      <c r="X27" s="1640"/>
      <c r="AA27" s="548"/>
      <c r="AG27" s="1636"/>
      <c r="AH27" s="1636"/>
      <c r="AI27" s="1636"/>
      <c r="AJ27" s="1636"/>
      <c r="AK27" s="1636"/>
      <c r="AL27" s="1164">
        <v>34</v>
      </c>
    </row>
    <row s="1646" customFormat="1" customHeight="1" ht="1.05">
      <c r="A28" s="1171"/>
      <c r="D28" s="552"/>
      <c r="E28" s="806" t="str">
        <f>E27&amp;".0"</f>
        <v>2.9.0</v>
      </c>
      <c r="F28" s="995"/>
      <c r="G28" s="555"/>
      <c r="H28" s="996"/>
      <c r="I28" s="996"/>
      <c r="J28" s="996"/>
      <c r="K28" s="996"/>
      <c r="L28" s="996"/>
      <c r="M28" s="996"/>
      <c r="N28" s="996"/>
      <c r="O28" s="996"/>
      <c r="P28" s="997"/>
      <c r="AL28" s="1640">
        <v>1</v>
      </c>
    </row>
    <row s="1370" customFormat="1" customHeight="1" ht="19.95">
      <c r="A29" s="991"/>
      <c r="C29" s="1640"/>
      <c r="D29" s="1637"/>
      <c r="E29" s="574"/>
      <c r="F29" s="1670" t="s">
        <v>604</v>
      </c>
      <c r="G29" s="576"/>
      <c r="H29" s="577"/>
      <c r="I29" s="577"/>
      <c r="J29" s="2696"/>
      <c r="K29" s="2697"/>
      <c r="L29" s="2698"/>
      <c r="M29" s="2699"/>
      <c r="N29" s="2700"/>
      <c r="O29" s="2701"/>
      <c r="P29" s="305" t="s">
        <v>1005</v>
      </c>
      <c r="Q29" s="547"/>
      <c r="R29" s="1640"/>
      <c r="S29" s="1640"/>
      <c r="X29" s="1640"/>
      <c r="AA29" s="548"/>
      <c r="AG29" s="1636"/>
      <c r="AH29" s="1636"/>
      <c r="AI29" s="1636"/>
      <c r="AJ29" s="1636"/>
      <c r="AK29" s="1636"/>
      <c r="AL29" s="1164">
        <v>19</v>
      </c>
    </row>
    <row s="1370" customFormat="1" customHeight="1" ht="24">
      <c r="A30" s="991"/>
      <c r="C30" s="1640"/>
      <c r="D30" s="1642"/>
      <c r="E30" s="1668" t="s">
        <v>90</v>
      </c>
      <c r="F30" s="1665" t="s">
        <v>1052</v>
      </c>
      <c r="G30" s="1658" t="s">
        <v>570</v>
      </c>
      <c r="H30" s="561"/>
      <c r="I30" s="561"/>
      <c r="J30" s="561"/>
      <c r="K30" s="561"/>
      <c r="L30" s="561"/>
      <c r="M30" s="561"/>
      <c r="N30" s="561"/>
      <c r="O30" s="561"/>
      <c r="P30" s="293"/>
      <c r="Q30" s="547"/>
      <c r="R30" s="1640"/>
      <c r="S30" s="1640"/>
      <c r="X30" s="1640"/>
      <c r="AA30" s="548"/>
      <c r="AG30" s="1636"/>
      <c r="AH30" s="1636"/>
      <c r="AI30" s="1636"/>
      <c r="AJ30" s="1636"/>
      <c r="AK30" s="1636"/>
      <c r="AL30" s="1164">
        <v>23</v>
      </c>
    </row>
    <row s="1370" customFormat="1" customHeight="1" ht="35.699999999999996">
      <c r="A31" s="991"/>
      <c r="C31" s="1640"/>
      <c r="D31" s="579"/>
      <c r="E31" s="1668" t="s">
        <v>91</v>
      </c>
      <c r="F31" s="1665" t="s">
        <v>1053</v>
      </c>
      <c r="G31" s="1658" t="s">
        <v>570</v>
      </c>
      <c r="H31" s="561"/>
      <c r="I31" s="561"/>
      <c r="J31" s="561"/>
      <c r="K31" s="561"/>
      <c r="L31" s="561"/>
      <c r="M31" s="561"/>
      <c r="N31" s="561"/>
      <c r="O31" s="561"/>
      <c r="P31" s="293" t="s">
        <v>1054</v>
      </c>
      <c r="Q31" s="547"/>
      <c r="R31" s="1640"/>
      <c r="S31" s="1640"/>
      <c r="X31" s="1640"/>
      <c r="AA31" s="548"/>
      <c r="AG31" s="1636"/>
      <c r="AH31" s="1636"/>
      <c r="AI31" s="1636"/>
      <c r="AJ31" s="1636"/>
      <c r="AK31" s="1636"/>
      <c r="AL31" s="1164">
        <v>34</v>
      </c>
    </row>
    <row s="1370" customFormat="1" customHeight="1" ht="24">
      <c r="A32" s="991"/>
      <c r="C32" s="1640"/>
      <c r="D32" s="1642"/>
      <c r="E32" s="1668" t="s">
        <v>1014</v>
      </c>
      <c r="F32" s="694" t="s">
        <v>1018</v>
      </c>
      <c r="G32" s="1658" t="s">
        <v>570</v>
      </c>
      <c r="H32" s="561"/>
      <c r="I32" s="561"/>
      <c r="J32" s="561"/>
      <c r="K32" s="561"/>
      <c r="L32" s="561"/>
      <c r="M32" s="561"/>
      <c r="N32" s="561"/>
      <c r="O32" s="561"/>
      <c r="P32" s="293" t="s">
        <v>1055</v>
      </c>
      <c r="Q32" s="547"/>
      <c r="R32" s="1640"/>
      <c r="S32" s="1640"/>
      <c r="X32" s="1640"/>
      <c r="AA32" s="548"/>
      <c r="AG32" s="1636"/>
      <c r="AH32" s="1636"/>
      <c r="AI32" s="1636"/>
      <c r="AJ32" s="1636"/>
      <c r="AK32" s="1636"/>
      <c r="AL32" s="1164">
        <v>23</v>
      </c>
    </row>
    <row s="1370" customFormat="1" customHeight="1" ht="24">
      <c r="A33" s="991"/>
      <c r="C33" s="1640"/>
      <c r="D33" s="1642"/>
      <c r="E33" s="1668" t="s">
        <v>1056</v>
      </c>
      <c r="F33" s="694" t="s">
        <v>1057</v>
      </c>
      <c r="G33" s="1658" t="s">
        <v>570</v>
      </c>
      <c r="H33" s="561"/>
      <c r="I33" s="561"/>
      <c r="J33" s="561"/>
      <c r="K33" s="561"/>
      <c r="L33" s="561"/>
      <c r="M33" s="561"/>
      <c r="N33" s="561"/>
      <c r="O33" s="561"/>
      <c r="P33" s="293" t="s">
        <v>1058</v>
      </c>
      <c r="Q33" s="547"/>
      <c r="R33" s="1640"/>
      <c r="S33" s="1640"/>
      <c r="X33" s="1640"/>
      <c r="AA33" s="548"/>
      <c r="AG33" s="1636"/>
      <c r="AH33" s="1636"/>
      <c r="AI33" s="1636"/>
      <c r="AJ33" s="1636"/>
      <c r="AK33" s="1636"/>
      <c r="AL33" s="1164">
        <v>23</v>
      </c>
    </row>
    <row s="1370" customFormat="1" customHeight="1" ht="24">
      <c r="A34" s="991"/>
      <c r="C34" s="1640"/>
      <c r="D34" s="1642"/>
      <c r="E34" s="1668" t="s">
        <v>1059</v>
      </c>
      <c r="F34" s="694" t="s">
        <v>1024</v>
      </c>
      <c r="G34" s="1658" t="s">
        <v>570</v>
      </c>
      <c r="H34" s="561"/>
      <c r="I34" s="561"/>
      <c r="J34" s="561"/>
      <c r="K34" s="561"/>
      <c r="L34" s="561"/>
      <c r="M34" s="561"/>
      <c r="N34" s="561"/>
      <c r="O34" s="561"/>
      <c r="P34" s="293" t="s">
        <v>1060</v>
      </c>
      <c r="Q34" s="547"/>
      <c r="R34" s="1640"/>
      <c r="S34" s="1640"/>
      <c r="X34" s="1640"/>
      <c r="AA34" s="548"/>
      <c r="AG34" s="1636"/>
      <c r="AH34" s="1636"/>
      <c r="AI34" s="1636"/>
      <c r="AJ34" s="1636"/>
      <c r="AK34" s="1636"/>
      <c r="AL34" s="1164">
        <v>23</v>
      </c>
    </row>
    <row s="1370" customFormat="1" customHeight="1" ht="35.699999999999996">
      <c r="A35" s="991"/>
      <c r="C35" s="1640" t="s">
        <v>728</v>
      </c>
      <c r="D35" s="1642"/>
      <c r="E35" s="1668" t="s">
        <v>120</v>
      </c>
      <c r="F35" s="1665" t="s">
        <v>890</v>
      </c>
      <c r="G35" s="1661" t="s">
        <v>324</v>
      </c>
      <c r="H35" s="2695"/>
      <c r="I35" s="2695"/>
      <c r="J35" s="2695"/>
      <c r="K35" s="2695"/>
      <c r="L35" s="2695"/>
      <c r="M35" s="2695"/>
      <c r="N35" s="2695"/>
      <c r="O35" s="2695"/>
      <c r="P35" s="293" t="s">
        <v>1061</v>
      </c>
      <c r="Q35" s="547"/>
      <c r="R35" s="1640"/>
      <c r="S35" s="1640"/>
      <c r="X35" s="1640"/>
      <c r="AA35" s="548"/>
      <c r="AG35" s="1636"/>
      <c r="AH35" s="1636"/>
      <c r="AI35" s="1636"/>
      <c r="AJ35" s="1636"/>
      <c r="AK35" s="1636"/>
      <c r="AL35" s="1164">
        <v>34</v>
      </c>
    </row>
    <row s="1370" customFormat="1" customHeight="1" ht="35.699999999999996">
      <c r="A36" s="991"/>
      <c r="C36" s="1640"/>
      <c r="D36" s="1642"/>
      <c r="E36" s="1668" t="s">
        <v>92</v>
      </c>
      <c r="F36" s="1665" t="s">
        <v>1062</v>
      </c>
      <c r="G36" s="1658" t="s">
        <v>1029</v>
      </c>
      <c r="H36" s="549"/>
      <c r="I36" s="549"/>
      <c r="J36" s="549"/>
      <c r="K36" s="549"/>
      <c r="L36" s="549"/>
      <c r="M36" s="549"/>
      <c r="N36" s="549"/>
      <c r="O36" s="549"/>
      <c r="P36" s="293" t="s">
        <v>1030</v>
      </c>
      <c r="Q36" s="547"/>
      <c r="R36" s="1640"/>
      <c r="S36" s="1640"/>
      <c r="X36" s="1640"/>
      <c r="AA36" s="548"/>
      <c r="AG36" s="1636"/>
      <c r="AH36" s="1636"/>
      <c r="AI36" s="1636"/>
      <c r="AJ36" s="1636"/>
      <c r="AK36" s="1636"/>
      <c r="AL36" s="1164">
        <v>34</v>
      </c>
    </row>
    <row s="1370" customFormat="1" customHeight="1" ht="24">
      <c r="A37" s="991"/>
      <c r="C37" s="1640"/>
      <c r="D37" s="1642"/>
      <c r="E37" s="1668" t="s">
        <v>93</v>
      </c>
      <c r="F37" s="1665" t="s">
        <v>1063</v>
      </c>
      <c r="G37" s="1658" t="s">
        <v>1032</v>
      </c>
      <c r="H37" s="549"/>
      <c r="I37" s="549"/>
      <c r="J37" s="549"/>
      <c r="K37" s="549"/>
      <c r="L37" s="549"/>
      <c r="M37" s="549"/>
      <c r="N37" s="549"/>
      <c r="O37" s="549"/>
      <c r="P37" s="293" t="s">
        <v>1033</v>
      </c>
      <c r="Q37" s="547"/>
      <c r="R37" s="1640"/>
      <c r="S37" s="1640"/>
      <c r="X37" s="1640"/>
      <c r="AA37" s="548"/>
      <c r="AG37" s="1636"/>
      <c r="AH37" s="1636"/>
      <c r="AI37" s="1636"/>
      <c r="AJ37" s="1636"/>
      <c r="AK37" s="1636"/>
      <c r="AL37" s="1164">
        <v>23</v>
      </c>
    </row>
    <row customHeight="1" ht="11.549999999999999">
      <c r="D38" s="1642"/>
      <c r="J38" s="1639"/>
      <c r="K38" s="1639"/>
      <c r="L38" s="1639"/>
      <c r="M38" s="1639"/>
      <c r="N38" s="1639"/>
      <c r="O38" s="1639"/>
      <c r="AL38" s="1635">
        <v>11</v>
      </c>
    </row>
    <row customHeight="1" ht="27.299999999999997">
      <c r="D39" s="1642"/>
      <c r="E39" s="1257" t="s">
        <v>1064</v>
      </c>
      <c r="F39" s="2289" t="s">
        <v>1065</v>
      </c>
      <c r="G39" s="2289"/>
      <c r="H39" s="373"/>
      <c r="I39" s="373"/>
      <c r="J39" s="1691"/>
      <c r="K39" s="1691"/>
      <c r="L39" s="1691"/>
      <c r="M39" s="1691"/>
      <c r="N39" s="1691"/>
      <c r="O39" s="1691"/>
      <c r="P39" s="373"/>
      <c r="AL39" s="1635">
        <v>26</v>
      </c>
    </row>
    <row s="1645" customFormat="1" customHeight="1" ht="39.75">
      <c r="A40" s="991"/>
      <c r="B40" s="1640"/>
      <c r="C40" s="1640"/>
      <c r="D40" s="355"/>
      <c r="F40" s="2289" t="s">
        <v>1066</v>
      </c>
      <c r="G40" s="2289"/>
      <c r="H40" s="373"/>
      <c r="I40" s="373"/>
      <c r="J40" s="1691"/>
      <c r="K40" s="1691"/>
      <c r="L40" s="1691"/>
      <c r="M40" s="1691"/>
      <c r="N40" s="1691"/>
      <c r="O40" s="1691"/>
      <c r="P40" s="373"/>
      <c r="Q40" s="1164"/>
      <c r="R40" s="1640"/>
      <c r="S40" s="1640"/>
      <c r="T40" s="1164"/>
      <c r="U40" s="1164"/>
      <c r="V40" s="1164"/>
      <c r="W40" s="1164"/>
      <c r="X40" s="1640"/>
      <c r="Y40" s="1164"/>
      <c r="Z40" s="1164"/>
      <c r="AA40" s="548"/>
      <c r="AB40" s="1164"/>
      <c r="AC40" s="1164"/>
      <c r="AD40" s="1164"/>
      <c r="AE40" s="1164"/>
      <c r="AF40" s="1164"/>
      <c r="AG40" s="1636"/>
      <c r="AH40" s="570"/>
      <c r="AI40" s="570"/>
      <c r="AJ40" s="570"/>
      <c r="AK40" s="570"/>
      <c r="AL40" s="1645">
        <v>38</v>
      </c>
    </row>
    <row s="1645" customFormat="1" customHeight="1" ht="11.549999999999999">
      <c r="A41" s="991"/>
      <c r="B41" s="1640"/>
      <c r="C41" s="1640"/>
      <c r="D41" s="355"/>
      <c r="J41" s="1645"/>
      <c r="K41" s="1645"/>
      <c r="L41" s="1645"/>
      <c r="M41" s="1645"/>
      <c r="N41" s="1645"/>
      <c r="O41" s="1645"/>
      <c r="Q41" s="1164"/>
      <c r="R41" s="1640"/>
      <c r="S41" s="1640"/>
      <c r="T41" s="1164"/>
      <c r="U41" s="1164"/>
      <c r="V41" s="1164"/>
      <c r="W41" s="1164"/>
      <c r="X41" s="1640"/>
      <c r="Y41" s="1164"/>
      <c r="Z41" s="1164"/>
      <c r="AA41" s="548"/>
      <c r="AB41" s="1164"/>
      <c r="AC41" s="1164"/>
      <c r="AD41" s="1164"/>
      <c r="AE41" s="1164"/>
      <c r="AF41" s="1164"/>
      <c r="AG41" s="1636"/>
      <c r="AH41" s="570"/>
      <c r="AI41" s="570"/>
      <c r="AJ41" s="570"/>
      <c r="AK41" s="570"/>
      <c r="AL41" s="1645">
        <v>11</v>
      </c>
    </row>
    <row s="1645" customFormat="1" customHeight="1" ht="11.549999999999999">
      <c r="A42" s="991"/>
      <c r="B42" s="1640"/>
      <c r="C42" s="1640"/>
      <c r="D42" s="355"/>
      <c r="J42" s="1645"/>
      <c r="K42" s="1645"/>
      <c r="L42" s="1645"/>
      <c r="M42" s="1645"/>
      <c r="N42" s="1645"/>
      <c r="O42" s="1645"/>
      <c r="Q42" s="1164"/>
      <c r="R42" s="1640"/>
      <c r="S42" s="1640"/>
      <c r="T42" s="1164"/>
      <c r="U42" s="1164"/>
      <c r="V42" s="1164"/>
      <c r="W42" s="1164"/>
      <c r="X42" s="1640"/>
      <c r="Y42" s="1164"/>
      <c r="Z42" s="1164"/>
      <c r="AA42" s="548"/>
      <c r="AB42" s="1164"/>
      <c r="AC42" s="1164"/>
      <c r="AD42" s="1164"/>
      <c r="AE42" s="1164"/>
      <c r="AF42" s="1164"/>
      <c r="AG42" s="1636"/>
      <c r="AH42" s="570"/>
      <c r="AI42" s="570"/>
      <c r="AJ42" s="570"/>
      <c r="AK42" s="570"/>
      <c r="AL42" s="1645">
        <v>11</v>
      </c>
    </row>
    <row s="1645" customFormat="1" customHeight="1" ht="11.549999999999999">
      <c r="A43" s="991"/>
      <c r="B43" s="1640"/>
      <c r="C43" s="1640"/>
      <c r="D43" s="355"/>
      <c r="H43" s="570"/>
      <c r="I43" s="570"/>
      <c r="J43" s="626"/>
      <c r="K43" s="626"/>
      <c r="L43" s="626"/>
      <c r="M43" s="626"/>
      <c r="N43" s="626"/>
      <c r="O43" s="626"/>
      <c r="Q43" s="1164"/>
      <c r="R43" s="1640"/>
      <c r="S43" s="1640"/>
      <c r="T43" s="1164"/>
      <c r="U43" s="1164"/>
      <c r="V43" s="1164"/>
      <c r="W43" s="1164"/>
      <c r="X43" s="1640"/>
      <c r="Y43" s="1164"/>
      <c r="Z43" s="1164"/>
      <c r="AA43" s="548"/>
      <c r="AB43" s="1164"/>
      <c r="AC43" s="1164"/>
      <c r="AD43" s="1164"/>
      <c r="AE43" s="1164"/>
      <c r="AF43" s="1164"/>
      <c r="AG43" s="1636"/>
      <c r="AH43" s="570"/>
      <c r="AI43" s="570"/>
      <c r="AJ43" s="570"/>
      <c r="AK43" s="570"/>
      <c r="AL43" s="1645">
        <v>11</v>
      </c>
    </row>
    <row s="1645" customFormat="1" customHeight="1" ht="11.549999999999999">
      <c r="A44" s="991"/>
      <c r="B44" s="1640"/>
      <c r="C44" s="1640"/>
      <c r="D44" s="355"/>
      <c r="J44" s="1645"/>
      <c r="K44" s="1645"/>
      <c r="L44" s="1645"/>
      <c r="M44" s="1645"/>
      <c r="N44" s="1645"/>
      <c r="O44" s="1645"/>
      <c r="Q44" s="1164"/>
      <c r="R44" s="1640"/>
      <c r="S44" s="1640"/>
      <c r="T44" s="1164"/>
      <c r="U44" s="1164"/>
      <c r="V44" s="1164"/>
      <c r="W44" s="1164"/>
      <c r="X44" s="1640"/>
      <c r="Y44" s="1164"/>
      <c r="Z44" s="1164"/>
      <c r="AA44" s="548"/>
      <c r="AB44" s="1164"/>
      <c r="AC44" s="1164"/>
      <c r="AD44" s="1164"/>
      <c r="AE44" s="1164"/>
      <c r="AF44" s="1164"/>
      <c r="AG44" s="1636"/>
      <c r="AH44" s="570"/>
      <c r="AI44" s="570"/>
      <c r="AJ44" s="570"/>
      <c r="AK44" s="570"/>
      <c r="AL44" s="1645">
        <v>11</v>
      </c>
    </row>
    <row s="1645" customFormat="1" customHeight="1" ht="11.549999999999999">
      <c r="A45" s="991"/>
      <c r="B45" s="1640"/>
      <c r="C45" s="1640"/>
      <c r="D45" s="355"/>
      <c r="J45" s="1645"/>
      <c r="K45" s="1645"/>
      <c r="L45" s="1645"/>
      <c r="M45" s="1645"/>
      <c r="N45" s="1645"/>
      <c r="O45" s="1645"/>
      <c r="Q45" s="1164"/>
      <c r="R45" s="1640"/>
      <c r="S45" s="1640"/>
      <c r="T45" s="1164"/>
      <c r="U45" s="1164"/>
      <c r="V45" s="1164"/>
      <c r="W45" s="1164"/>
      <c r="X45" s="1640"/>
      <c r="Y45" s="1164"/>
      <c r="Z45" s="1164"/>
      <c r="AA45" s="548"/>
      <c r="AB45" s="1164"/>
      <c r="AC45" s="1164"/>
      <c r="AD45" s="1164"/>
      <c r="AE45" s="1164"/>
      <c r="AF45" s="1164"/>
      <c r="AG45" s="1636"/>
      <c r="AH45" s="570"/>
      <c r="AI45" s="570"/>
      <c r="AJ45" s="570"/>
      <c r="AK45" s="570"/>
      <c r="AL45" s="1645">
        <v>11</v>
      </c>
    </row>
    <row s="1645" customFormat="1" customHeight="1" ht="11.549999999999999">
      <c r="A46" s="991"/>
      <c r="B46" s="1640"/>
      <c r="C46" s="1640"/>
      <c r="D46" s="355"/>
      <c r="J46" s="1645"/>
      <c r="K46" s="1645"/>
      <c r="L46" s="1645"/>
      <c r="M46" s="1645"/>
      <c r="N46" s="1645"/>
      <c r="O46" s="1645"/>
      <c r="Q46" s="1164"/>
      <c r="R46" s="1640"/>
      <c r="S46" s="1640"/>
      <c r="T46" s="1164"/>
      <c r="U46" s="1164"/>
      <c r="V46" s="1164"/>
      <c r="W46" s="1164"/>
      <c r="X46" s="1640"/>
      <c r="Y46" s="1164"/>
      <c r="Z46" s="1164"/>
      <c r="AA46" s="548"/>
      <c r="AB46" s="1164"/>
      <c r="AC46" s="1164"/>
      <c r="AD46" s="1164"/>
      <c r="AE46" s="1164"/>
      <c r="AF46" s="1164"/>
      <c r="AG46" s="1636"/>
      <c r="AH46" s="570"/>
      <c r="AI46" s="570"/>
      <c r="AJ46" s="570"/>
      <c r="AK46" s="570"/>
      <c r="AL46" s="1645">
        <v>11</v>
      </c>
    </row>
    <row s="1645" customFormat="1" customHeight="1" ht="11.549999999999999">
      <c r="A47" s="991"/>
      <c r="B47" s="1640"/>
      <c r="C47" s="1640"/>
      <c r="D47" s="355"/>
      <c r="J47" s="1645"/>
      <c r="K47" s="1645"/>
      <c r="L47" s="1645"/>
      <c r="M47" s="1645"/>
      <c r="N47" s="1645"/>
      <c r="O47" s="1645"/>
      <c r="Q47" s="1164"/>
      <c r="R47" s="1640"/>
      <c r="S47" s="1640"/>
      <c r="T47" s="1164"/>
      <c r="U47" s="1164"/>
      <c r="V47" s="1164"/>
      <c r="W47" s="1164"/>
      <c r="X47" s="1640"/>
      <c r="Y47" s="1164"/>
      <c r="Z47" s="1164"/>
      <c r="AA47" s="548"/>
      <c r="AB47" s="1164"/>
      <c r="AC47" s="1164"/>
      <c r="AD47" s="1164"/>
      <c r="AE47" s="1164"/>
      <c r="AF47" s="1164"/>
      <c r="AG47" s="1636"/>
      <c r="AH47" s="570"/>
      <c r="AI47" s="570"/>
      <c r="AJ47" s="570"/>
      <c r="AK47" s="570"/>
      <c r="AL47" s="1645">
        <v>11</v>
      </c>
    </row>
    <row s="1645" customFormat="1" customHeight="1" ht="11.549999999999999">
      <c r="A48" s="991"/>
      <c r="B48" s="1640"/>
      <c r="C48" s="1640"/>
      <c r="D48" s="355"/>
      <c r="J48" s="1645"/>
      <c r="K48" s="1645"/>
      <c r="L48" s="1645"/>
      <c r="M48" s="1645"/>
      <c r="N48" s="1645"/>
      <c r="O48" s="1645"/>
      <c r="Q48" s="1164"/>
      <c r="R48" s="1640"/>
      <c r="S48" s="1640"/>
      <c r="T48" s="1164"/>
      <c r="U48" s="1164"/>
      <c r="V48" s="1164"/>
      <c r="W48" s="1164"/>
      <c r="X48" s="1640"/>
      <c r="Y48" s="1164"/>
      <c r="Z48" s="1164"/>
      <c r="AA48" s="548"/>
      <c r="AB48" s="1164"/>
      <c r="AC48" s="1164"/>
      <c r="AD48" s="1164"/>
      <c r="AE48" s="1164"/>
      <c r="AF48" s="1164"/>
      <c r="AG48" s="1636"/>
      <c r="AH48" s="570"/>
      <c r="AI48" s="570"/>
      <c r="AJ48" s="570"/>
      <c r="AK48" s="570"/>
      <c r="AL48" s="1645">
        <v>11</v>
      </c>
    </row>
    <row s="1645" customFormat="1" customHeight="1" ht="11.549999999999999">
      <c r="A49" s="991"/>
      <c r="B49" s="1640"/>
      <c r="C49" s="1640"/>
      <c r="D49" s="355"/>
      <c r="J49" s="1645"/>
      <c r="K49" s="1645"/>
      <c r="L49" s="1645"/>
      <c r="M49" s="1645"/>
      <c r="N49" s="1645"/>
      <c r="O49" s="1645"/>
      <c r="Q49" s="1164"/>
      <c r="R49" s="1640"/>
      <c r="S49" s="1640"/>
      <c r="T49" s="1164"/>
      <c r="U49" s="1164"/>
      <c r="V49" s="1164"/>
      <c r="W49" s="1164"/>
      <c r="X49" s="1640"/>
      <c r="Y49" s="1164"/>
      <c r="Z49" s="1164"/>
      <c r="AA49" s="548"/>
      <c r="AB49" s="1164"/>
      <c r="AC49" s="1164"/>
      <c r="AD49" s="1164"/>
      <c r="AE49" s="1164"/>
      <c r="AF49" s="1164"/>
      <c r="AG49" s="1636"/>
      <c r="AH49" s="570"/>
      <c r="AI49" s="570"/>
      <c r="AJ49" s="570"/>
      <c r="AK49" s="570"/>
      <c r="AL49" s="1645">
        <v>11</v>
      </c>
    </row>
    <row s="1645" customFormat="1" customHeight="1" ht="11.549999999999999">
      <c r="A50" s="991"/>
      <c r="B50" s="1640"/>
      <c r="C50" s="1640"/>
      <c r="D50" s="355"/>
      <c r="J50" s="1645"/>
      <c r="K50" s="1645"/>
      <c r="L50" s="1645"/>
      <c r="M50" s="1645"/>
      <c r="N50" s="1645"/>
      <c r="O50" s="1645"/>
      <c r="Q50" s="1164"/>
      <c r="R50" s="1640"/>
      <c r="S50" s="1640"/>
      <c r="T50" s="1164"/>
      <c r="U50" s="1164"/>
      <c r="V50" s="1164"/>
      <c r="W50" s="1164"/>
      <c r="X50" s="1640"/>
      <c r="Y50" s="1164"/>
      <c r="Z50" s="1164"/>
      <c r="AA50" s="548"/>
      <c r="AB50" s="1164"/>
      <c r="AC50" s="1164"/>
      <c r="AD50" s="1164"/>
      <c r="AE50" s="1164"/>
      <c r="AF50" s="1164"/>
      <c r="AG50" s="1636"/>
      <c r="AH50" s="570"/>
      <c r="AI50" s="570"/>
      <c r="AJ50" s="570"/>
      <c r="AK50" s="570"/>
      <c r="AL50" s="1645">
        <v>11</v>
      </c>
    </row>
    <row s="1645" customFormat="1" customHeight="1" ht="11.549999999999999">
      <c r="A51" s="991"/>
      <c r="B51" s="1640"/>
      <c r="C51" s="1640"/>
      <c r="D51" s="355"/>
      <c r="J51" s="1645"/>
      <c r="K51" s="1645"/>
      <c r="L51" s="1645"/>
      <c r="M51" s="1645"/>
      <c r="N51" s="1645"/>
      <c r="O51" s="1645"/>
      <c r="Q51" s="1164"/>
      <c r="R51" s="1640"/>
      <c r="S51" s="1640"/>
      <c r="T51" s="1164"/>
      <c r="U51" s="1164"/>
      <c r="V51" s="1164"/>
      <c r="W51" s="1164"/>
      <c r="X51" s="1640"/>
      <c r="Y51" s="1164"/>
      <c r="Z51" s="1164"/>
      <c r="AA51" s="548"/>
      <c r="AB51" s="1164"/>
      <c r="AC51" s="1164"/>
      <c r="AD51" s="1164"/>
      <c r="AE51" s="1164"/>
      <c r="AF51" s="1164"/>
      <c r="AG51" s="1636"/>
      <c r="AH51" s="570"/>
      <c r="AI51" s="570"/>
      <c r="AJ51" s="570"/>
      <c r="AK51" s="570"/>
      <c r="AL51" s="1645">
        <v>11</v>
      </c>
    </row>
    <row s="1645" customFormat="1" customHeight="1" ht="11.549999999999999">
      <c r="A52" s="991"/>
      <c r="B52" s="1640"/>
      <c r="C52" s="1640"/>
      <c r="D52" s="355"/>
      <c r="J52" s="1645"/>
      <c r="K52" s="1645"/>
      <c r="L52" s="1645"/>
      <c r="M52" s="1645"/>
      <c r="N52" s="1645"/>
      <c r="O52" s="1645"/>
      <c r="Q52" s="1164"/>
      <c r="R52" s="1640"/>
      <c r="S52" s="1640"/>
      <c r="T52" s="1164"/>
      <c r="U52" s="1164"/>
      <c r="V52" s="1164"/>
      <c r="W52" s="1164"/>
      <c r="X52" s="1640"/>
      <c r="Y52" s="1164"/>
      <c r="Z52" s="1164"/>
      <c r="AA52" s="548"/>
      <c r="AB52" s="1164"/>
      <c r="AC52" s="1164"/>
      <c r="AD52" s="1164"/>
      <c r="AE52" s="1164"/>
      <c r="AF52" s="1164"/>
      <c r="AG52" s="1636"/>
      <c r="AH52" s="570"/>
      <c r="AI52" s="570"/>
      <c r="AJ52" s="570"/>
      <c r="AK52" s="570"/>
      <c r="AL52" s="1645">
        <v>11</v>
      </c>
    </row>
    <row s="1645" customFormat="1" customHeight="1" ht="11.549999999999999">
      <c r="A53" s="991"/>
      <c r="B53" s="1640"/>
      <c r="C53" s="1640"/>
      <c r="D53" s="355"/>
      <c r="J53" s="1645"/>
      <c r="K53" s="1645"/>
      <c r="L53" s="1645"/>
      <c r="M53" s="1645"/>
      <c r="N53" s="1645"/>
      <c r="O53" s="1645"/>
      <c r="Q53" s="1164"/>
      <c r="R53" s="1640"/>
      <c r="S53" s="1640"/>
      <c r="T53" s="1164"/>
      <c r="U53" s="1164"/>
      <c r="V53" s="1164"/>
      <c r="W53" s="1164"/>
      <c r="X53" s="1640"/>
      <c r="Y53" s="1164"/>
      <c r="Z53" s="1164"/>
      <c r="AA53" s="548"/>
      <c r="AB53" s="1164"/>
      <c r="AC53" s="1164"/>
      <c r="AD53" s="1164"/>
      <c r="AE53" s="1164"/>
      <c r="AF53" s="1164"/>
      <c r="AG53" s="1636"/>
      <c r="AH53" s="570"/>
      <c r="AI53" s="570"/>
      <c r="AJ53" s="570"/>
      <c r="AK53" s="570"/>
      <c r="AL53" s="1645">
        <v>11</v>
      </c>
    </row>
    <row s="1645" customFormat="1" customHeight="1" ht="11.549999999999999">
      <c r="A54" s="991"/>
      <c r="B54" s="1640"/>
      <c r="C54" s="1640"/>
      <c r="D54" s="355"/>
      <c r="J54" s="1645"/>
      <c r="K54" s="1645"/>
      <c r="L54" s="1645"/>
      <c r="M54" s="1645"/>
      <c r="N54" s="1645"/>
      <c r="O54" s="1645"/>
      <c r="Q54" s="1164"/>
      <c r="R54" s="1640"/>
      <c r="S54" s="1640"/>
      <c r="T54" s="1164"/>
      <c r="U54" s="1164"/>
      <c r="V54" s="1164"/>
      <c r="W54" s="1164"/>
      <c r="X54" s="1640"/>
      <c r="Y54" s="1164"/>
      <c r="Z54" s="1164"/>
      <c r="AA54" s="548"/>
      <c r="AB54" s="1164"/>
      <c r="AC54" s="1164"/>
      <c r="AD54" s="1164"/>
      <c r="AE54" s="1164"/>
      <c r="AF54" s="1164"/>
      <c r="AG54" s="1636"/>
      <c r="AH54" s="570"/>
      <c r="AI54" s="570"/>
      <c r="AJ54" s="570"/>
      <c r="AK54" s="570"/>
      <c r="AL54" s="1645">
        <v>11</v>
      </c>
    </row>
    <row s="1645" customFormat="1" customHeight="1" ht="11.549999999999999">
      <c r="A55" s="991"/>
      <c r="B55" s="1640"/>
      <c r="C55" s="1640"/>
      <c r="D55" s="355"/>
      <c r="J55" s="1645"/>
      <c r="K55" s="1645"/>
      <c r="L55" s="1645"/>
      <c r="M55" s="1645"/>
      <c r="N55" s="1645"/>
      <c r="O55" s="1645"/>
      <c r="Q55" s="1164"/>
      <c r="R55" s="1640"/>
      <c r="S55" s="1640"/>
      <c r="T55" s="1164"/>
      <c r="U55" s="1164"/>
      <c r="V55" s="1164"/>
      <c r="W55" s="1164"/>
      <c r="X55" s="1640"/>
      <c r="Y55" s="1164"/>
      <c r="Z55" s="1164"/>
      <c r="AA55" s="548"/>
      <c r="AB55" s="1164"/>
      <c r="AC55" s="1164"/>
      <c r="AD55" s="1164"/>
      <c r="AE55" s="1164"/>
      <c r="AF55" s="1164"/>
      <c r="AG55" s="1636"/>
      <c r="AH55" s="570"/>
      <c r="AI55" s="570"/>
      <c r="AJ55" s="570"/>
      <c r="AK55" s="570"/>
      <c r="AL55" s="1645">
        <v>11</v>
      </c>
    </row>
    <row s="1645" customFormat="1" customHeight="1" ht="11.549999999999999">
      <c r="A56" s="991"/>
      <c r="B56" s="1640"/>
      <c r="C56" s="1640"/>
      <c r="D56" s="355"/>
      <c r="J56" s="1645"/>
      <c r="K56" s="1645"/>
      <c r="L56" s="1645"/>
      <c r="M56" s="1645"/>
      <c r="N56" s="1645"/>
      <c r="O56" s="1645"/>
      <c r="Q56" s="1164"/>
      <c r="R56" s="1640"/>
      <c r="S56" s="1640"/>
      <c r="T56" s="1164"/>
      <c r="U56" s="1164"/>
      <c r="V56" s="1164"/>
      <c r="W56" s="1164"/>
      <c r="X56" s="1640"/>
      <c r="Y56" s="1164"/>
      <c r="Z56" s="1164"/>
      <c r="AA56" s="548"/>
      <c r="AB56" s="1164"/>
      <c r="AC56" s="1164"/>
      <c r="AD56" s="1164"/>
      <c r="AE56" s="1164"/>
      <c r="AF56" s="1164"/>
      <c r="AG56" s="1636"/>
      <c r="AH56" s="570"/>
      <c r="AI56" s="570"/>
      <c r="AJ56" s="570"/>
      <c r="AK56" s="570"/>
      <c r="AL56" s="1645">
        <v>11</v>
      </c>
    </row>
    <row s="1645" customFormat="1" customHeight="1" ht="11.549999999999999">
      <c r="A57" s="991"/>
      <c r="B57" s="1640"/>
      <c r="C57" s="1640"/>
      <c r="D57" s="355"/>
      <c r="J57" s="1645"/>
      <c r="K57" s="1645"/>
      <c r="L57" s="1645"/>
      <c r="M57" s="1645"/>
      <c r="N57" s="1645"/>
      <c r="O57" s="1645"/>
      <c r="Q57" s="1164"/>
      <c r="R57" s="1640"/>
      <c r="S57" s="1640"/>
      <c r="T57" s="1164"/>
      <c r="U57" s="1164"/>
      <c r="V57" s="1164"/>
      <c r="W57" s="1164"/>
      <c r="X57" s="1640"/>
      <c r="Y57" s="1164"/>
      <c r="Z57" s="1164"/>
      <c r="AA57" s="548"/>
      <c r="AB57" s="1164"/>
      <c r="AC57" s="1164"/>
      <c r="AD57" s="1164"/>
      <c r="AE57" s="1164"/>
      <c r="AF57" s="1164"/>
      <c r="AG57" s="1636"/>
      <c r="AH57" s="570"/>
      <c r="AI57" s="570"/>
      <c r="AJ57" s="570"/>
      <c r="AK57" s="570"/>
      <c r="AL57" s="1645">
        <v>11</v>
      </c>
    </row>
    <row s="1645" customFormat="1" customHeight="1" ht="11.549999999999999">
      <c r="A58" s="991"/>
      <c r="B58" s="1640"/>
      <c r="C58" s="1640"/>
      <c r="D58" s="355"/>
      <c r="J58" s="1645"/>
      <c r="K58" s="1645"/>
      <c r="L58" s="1645"/>
      <c r="M58" s="1645"/>
      <c r="N58" s="1645"/>
      <c r="O58" s="1645"/>
      <c r="Q58" s="1164"/>
      <c r="R58" s="1640"/>
      <c r="S58" s="1640"/>
      <c r="T58" s="1164"/>
      <c r="U58" s="1164"/>
      <c r="V58" s="1164"/>
      <c r="W58" s="1164"/>
      <c r="X58" s="1640"/>
      <c r="Y58" s="1164"/>
      <c r="Z58" s="1164"/>
      <c r="AA58" s="548"/>
      <c r="AB58" s="1164"/>
      <c r="AC58" s="1164"/>
      <c r="AD58" s="1164"/>
      <c r="AE58" s="1164"/>
      <c r="AF58" s="1164"/>
      <c r="AG58" s="1636"/>
      <c r="AH58" s="570"/>
      <c r="AI58" s="570"/>
      <c r="AJ58" s="570"/>
      <c r="AK58" s="570"/>
      <c r="AL58" s="1645">
        <v>11</v>
      </c>
    </row>
    <row s="1645" customFormat="1" customHeight="1" ht="11.549999999999999">
      <c r="A59" s="991"/>
      <c r="B59" s="1640"/>
      <c r="C59" s="1640"/>
      <c r="D59" s="355"/>
      <c r="J59" s="1645"/>
      <c r="K59" s="1645"/>
      <c r="L59" s="1645"/>
      <c r="M59" s="1645"/>
      <c r="N59" s="1645"/>
      <c r="O59" s="1645"/>
      <c r="Q59" s="1164"/>
      <c r="R59" s="1640"/>
      <c r="S59" s="1640"/>
      <c r="T59" s="1164"/>
      <c r="U59" s="1164"/>
      <c r="V59" s="1164"/>
      <c r="W59" s="1164"/>
      <c r="X59" s="1640"/>
      <c r="Y59" s="1164"/>
      <c r="Z59" s="1164"/>
      <c r="AA59" s="548"/>
      <c r="AB59" s="1164"/>
      <c r="AC59" s="1164"/>
      <c r="AD59" s="1164"/>
      <c r="AE59" s="1164"/>
      <c r="AF59" s="1164"/>
      <c r="AG59" s="1636"/>
      <c r="AH59" s="570"/>
      <c r="AI59" s="570"/>
      <c r="AJ59" s="570"/>
      <c r="AK59" s="570"/>
      <c r="AL59" s="1645">
        <v>11</v>
      </c>
    </row>
    <row s="1645" customFormat="1" customHeight="1" ht="11.549999999999999">
      <c r="A60" s="991"/>
      <c r="B60" s="1640"/>
      <c r="C60" s="1640"/>
      <c r="D60" s="355"/>
      <c r="J60" s="1645"/>
      <c r="K60" s="1645"/>
      <c r="L60" s="1645"/>
      <c r="M60" s="1645"/>
      <c r="N60" s="1645"/>
      <c r="O60" s="1645"/>
      <c r="Q60" s="1164"/>
      <c r="R60" s="1640"/>
      <c r="S60" s="1640"/>
      <c r="T60" s="1164"/>
      <c r="U60" s="1164"/>
      <c r="V60" s="1164"/>
      <c r="W60" s="1164"/>
      <c r="X60" s="1640"/>
      <c r="Y60" s="1164"/>
      <c r="Z60" s="1164"/>
      <c r="AA60" s="548"/>
      <c r="AB60" s="1164"/>
      <c r="AC60" s="1164"/>
      <c r="AD60" s="1164"/>
      <c r="AE60" s="1164"/>
      <c r="AF60" s="1164"/>
      <c r="AG60" s="1636"/>
      <c r="AH60" s="570"/>
      <c r="AI60" s="570"/>
      <c r="AJ60" s="570"/>
      <c r="AK60" s="570"/>
      <c r="AL60" s="1645">
        <v>11</v>
      </c>
    </row>
    <row s="1645" customFormat="1" customHeight="1" ht="11.549999999999999">
      <c r="A61" s="991"/>
      <c r="B61" s="1640"/>
      <c r="C61" s="1640"/>
      <c r="D61" s="355"/>
      <c r="J61" s="1645"/>
      <c r="K61" s="1645"/>
      <c r="L61" s="1645"/>
      <c r="M61" s="1645"/>
      <c r="N61" s="1645"/>
      <c r="O61" s="1645"/>
      <c r="Q61" s="1164"/>
      <c r="R61" s="1640"/>
      <c r="S61" s="1640"/>
      <c r="T61" s="1164"/>
      <c r="U61" s="1164"/>
      <c r="V61" s="1164"/>
      <c r="W61" s="1164"/>
      <c r="X61" s="1640"/>
      <c r="Y61" s="1164"/>
      <c r="Z61" s="1164"/>
      <c r="AA61" s="548"/>
      <c r="AB61" s="1164"/>
      <c r="AC61" s="1164"/>
      <c r="AD61" s="1164"/>
      <c r="AE61" s="1164"/>
      <c r="AF61" s="1164"/>
      <c r="AG61" s="1636"/>
      <c r="AH61" s="570"/>
      <c r="AI61" s="570"/>
      <c r="AJ61" s="570"/>
      <c r="AK61" s="570"/>
      <c r="AL61" s="1645">
        <v>11</v>
      </c>
    </row>
    <row s="1645" customFormat="1" customHeight="1" ht="11.549999999999999">
      <c r="A62" s="991"/>
      <c r="B62" s="1640"/>
      <c r="C62" s="1640"/>
      <c r="D62" s="355"/>
      <c r="J62" s="1645"/>
      <c r="K62" s="1645"/>
      <c r="L62" s="1645"/>
      <c r="M62" s="1645"/>
      <c r="N62" s="1645"/>
      <c r="O62" s="1645"/>
      <c r="Q62" s="1164"/>
      <c r="R62" s="1640"/>
      <c r="S62" s="1640"/>
      <c r="T62" s="1164"/>
      <c r="U62" s="1164"/>
      <c r="V62" s="1164"/>
      <c r="W62" s="1164"/>
      <c r="X62" s="1640"/>
      <c r="Y62" s="1164"/>
      <c r="Z62" s="1164"/>
      <c r="AA62" s="548"/>
      <c r="AB62" s="1164"/>
      <c r="AC62" s="1164"/>
      <c r="AD62" s="1164"/>
      <c r="AE62" s="1164"/>
      <c r="AF62" s="1164"/>
      <c r="AG62" s="1636"/>
      <c r="AH62" s="570"/>
      <c r="AI62" s="570"/>
      <c r="AJ62" s="570"/>
      <c r="AK62" s="570"/>
      <c r="AL62" s="1645">
        <v>11</v>
      </c>
    </row>
    <row s="1645" customFormat="1" customHeight="1" ht="11.549999999999999">
      <c r="A63" s="991"/>
      <c r="B63" s="1640"/>
      <c r="C63" s="1640"/>
      <c r="D63" s="355"/>
      <c r="J63" s="1645"/>
      <c r="K63" s="1645"/>
      <c r="L63" s="1645"/>
      <c r="M63" s="1645"/>
      <c r="N63" s="1645"/>
      <c r="O63" s="1645"/>
      <c r="Q63" s="1164"/>
      <c r="R63" s="1640"/>
      <c r="S63" s="1640"/>
      <c r="T63" s="1164"/>
      <c r="U63" s="1164"/>
      <c r="V63" s="1164"/>
      <c r="W63" s="1164"/>
      <c r="X63" s="1640"/>
      <c r="Y63" s="1164"/>
      <c r="Z63" s="1164"/>
      <c r="AA63" s="548"/>
      <c r="AB63" s="1164"/>
      <c r="AC63" s="1164"/>
      <c r="AD63" s="1164"/>
      <c r="AE63" s="1164"/>
      <c r="AF63" s="1164"/>
      <c r="AG63" s="1636"/>
      <c r="AH63" s="570"/>
      <c r="AI63" s="570"/>
      <c r="AJ63" s="570"/>
      <c r="AK63" s="570"/>
      <c r="AL63" s="1645">
        <v>11</v>
      </c>
    </row>
    <row s="1645" customFormat="1" customHeight="1" ht="11.549999999999999">
      <c r="A64" s="991"/>
      <c r="B64" s="1640"/>
      <c r="C64" s="1640"/>
      <c r="D64" s="355"/>
      <c r="J64" s="1645"/>
      <c r="K64" s="1645"/>
      <c r="L64" s="1645"/>
      <c r="M64" s="1645"/>
      <c r="N64" s="1645"/>
      <c r="O64" s="1645"/>
      <c r="Q64" s="1164"/>
      <c r="R64" s="1640"/>
      <c r="S64" s="1640"/>
      <c r="T64" s="1164"/>
      <c r="U64" s="1164"/>
      <c r="V64" s="1164"/>
      <c r="W64" s="1164"/>
      <c r="X64" s="1640"/>
      <c r="Y64" s="1164"/>
      <c r="Z64" s="1164"/>
      <c r="AA64" s="548"/>
      <c r="AB64" s="1164"/>
      <c r="AC64" s="1164"/>
      <c r="AD64" s="1164"/>
      <c r="AE64" s="1164"/>
      <c r="AF64" s="1164"/>
      <c r="AG64" s="1636"/>
      <c r="AH64" s="570"/>
      <c r="AI64" s="570"/>
      <c r="AJ64" s="570"/>
      <c r="AK64" s="570"/>
      <c r="AL64" s="1645">
        <v>11</v>
      </c>
    </row>
    <row s="1645" customFormat="1" customHeight="1" ht="11.549999999999999">
      <c r="A65" s="991"/>
      <c r="B65" s="1640"/>
      <c r="C65" s="1640"/>
      <c r="D65" s="355"/>
      <c r="J65" s="1645"/>
      <c r="K65" s="1645"/>
      <c r="L65" s="1645"/>
      <c r="M65" s="1645"/>
      <c r="N65" s="1645"/>
      <c r="O65" s="1645"/>
      <c r="Q65" s="1164"/>
      <c r="R65" s="1640"/>
      <c r="S65" s="1640"/>
      <c r="T65" s="1164"/>
      <c r="U65" s="1164"/>
      <c r="V65" s="1164"/>
      <c r="W65" s="1164"/>
      <c r="X65" s="1640"/>
      <c r="Y65" s="1164"/>
      <c r="Z65" s="1164"/>
      <c r="AA65" s="548"/>
      <c r="AB65" s="1164"/>
      <c r="AC65" s="1164"/>
      <c r="AD65" s="1164"/>
      <c r="AE65" s="1164"/>
      <c r="AF65" s="1164"/>
      <c r="AG65" s="1636"/>
      <c r="AH65" s="570"/>
      <c r="AI65" s="570"/>
      <c r="AJ65" s="570"/>
      <c r="AK65" s="570"/>
      <c r="AL65" s="1645">
        <v>11</v>
      </c>
    </row>
    <row s="1645" customFormat="1" customHeight="1" ht="11.549999999999999">
      <c r="A66" s="991"/>
      <c r="B66" s="1640"/>
      <c r="C66" s="1640"/>
      <c r="D66" s="355"/>
      <c r="J66" s="1645"/>
      <c r="K66" s="1645"/>
      <c r="L66" s="1645"/>
      <c r="M66" s="1645"/>
      <c r="N66" s="1645"/>
      <c r="O66" s="1645"/>
      <c r="Q66" s="1164"/>
      <c r="R66" s="1640"/>
      <c r="S66" s="1640"/>
      <c r="T66" s="1164"/>
      <c r="U66" s="1164"/>
      <c r="V66" s="1164"/>
      <c r="W66" s="1164"/>
      <c r="X66" s="1640"/>
      <c r="Y66" s="1164"/>
      <c r="Z66" s="1164"/>
      <c r="AA66" s="548"/>
      <c r="AB66" s="1164"/>
      <c r="AC66" s="1164"/>
      <c r="AD66" s="1164"/>
      <c r="AE66" s="1164"/>
      <c r="AF66" s="1164"/>
      <c r="AG66" s="1636"/>
      <c r="AH66" s="570"/>
      <c r="AI66" s="570"/>
      <c r="AJ66" s="570"/>
      <c r="AK66" s="570"/>
      <c r="AL66" s="1645">
        <v>11</v>
      </c>
    </row>
    <row s="1645" customFormat="1" customHeight="1" ht="11.549999999999999">
      <c r="A67" s="991"/>
      <c r="B67" s="1640"/>
      <c r="C67" s="1640"/>
      <c r="D67" s="355"/>
      <c r="J67" s="1645"/>
      <c r="K67" s="1645"/>
      <c r="L67" s="1645"/>
      <c r="M67" s="1645"/>
      <c r="N67" s="1645"/>
      <c r="O67" s="1645"/>
      <c r="Q67" s="1164"/>
      <c r="R67" s="1640"/>
      <c r="S67" s="1640"/>
      <c r="T67" s="1164"/>
      <c r="U67" s="1164"/>
      <c r="V67" s="1164"/>
      <c r="W67" s="1164"/>
      <c r="X67" s="1640"/>
      <c r="Y67" s="1164"/>
      <c r="Z67" s="1164"/>
      <c r="AA67" s="548"/>
      <c r="AB67" s="1164"/>
      <c r="AC67" s="1164"/>
      <c r="AD67" s="1164"/>
      <c r="AE67" s="1164"/>
      <c r="AF67" s="1164"/>
      <c r="AG67" s="1636"/>
      <c r="AH67" s="570"/>
      <c r="AI67" s="570"/>
      <c r="AJ67" s="570"/>
      <c r="AK67" s="570"/>
      <c r="AL67" s="1645">
        <v>11</v>
      </c>
    </row>
    <row s="1645" customFormat="1" customHeight="1" ht="11.549999999999999">
      <c r="A68" s="991"/>
      <c r="B68" s="1640"/>
      <c r="C68" s="1640"/>
      <c r="D68" s="355"/>
      <c r="J68" s="1645"/>
      <c r="K68" s="1645"/>
      <c r="L68" s="1645"/>
      <c r="M68" s="1645"/>
      <c r="N68" s="1645"/>
      <c r="O68" s="1645"/>
      <c r="Q68" s="1164"/>
      <c r="R68" s="1640"/>
      <c r="S68" s="1640"/>
      <c r="T68" s="1164"/>
      <c r="U68" s="1164"/>
      <c r="V68" s="1164"/>
      <c r="W68" s="1164"/>
      <c r="X68" s="1640"/>
      <c r="Y68" s="1164"/>
      <c r="Z68" s="1164"/>
      <c r="AA68" s="548"/>
      <c r="AB68" s="1164"/>
      <c r="AC68" s="1164"/>
      <c r="AD68" s="1164"/>
      <c r="AE68" s="1164"/>
      <c r="AF68" s="1164"/>
      <c r="AG68" s="1636"/>
      <c r="AH68" s="570"/>
      <c r="AI68" s="570"/>
      <c r="AJ68" s="570"/>
      <c r="AK68" s="570"/>
      <c r="AL68" s="1645">
        <v>11</v>
      </c>
    </row>
    <row s="1645" customFormat="1" customHeight="1" ht="11.549999999999999">
      <c r="A69" s="991"/>
      <c r="B69" s="1640"/>
      <c r="C69" s="1640"/>
      <c r="D69" s="355"/>
      <c r="J69" s="1645"/>
      <c r="K69" s="1645"/>
      <c r="L69" s="1645"/>
      <c r="M69" s="1645"/>
      <c r="N69" s="1645"/>
      <c r="O69" s="1645"/>
      <c r="Q69" s="1164"/>
      <c r="R69" s="1640"/>
      <c r="S69" s="1640"/>
      <c r="T69" s="1164"/>
      <c r="U69" s="1164"/>
      <c r="V69" s="1164"/>
      <c r="W69" s="1164"/>
      <c r="X69" s="1640"/>
      <c r="Y69" s="1164"/>
      <c r="Z69" s="1164"/>
      <c r="AA69" s="548"/>
      <c r="AB69" s="1164"/>
      <c r="AC69" s="1164"/>
      <c r="AD69" s="1164"/>
      <c r="AE69" s="1164"/>
      <c r="AF69" s="1164"/>
      <c r="AG69" s="1636"/>
      <c r="AH69" s="570"/>
      <c r="AI69" s="570"/>
      <c r="AJ69" s="570"/>
      <c r="AK69" s="570"/>
      <c r="AL69" s="1645">
        <v>11</v>
      </c>
    </row>
    <row s="1645" customFormat="1" customHeight="1" ht="11.549999999999999">
      <c r="A70" s="991"/>
      <c r="B70" s="1640"/>
      <c r="C70" s="1640"/>
      <c r="D70" s="355"/>
      <c r="J70" s="1645"/>
      <c r="K70" s="1645"/>
      <c r="L70" s="1645"/>
      <c r="M70" s="1645"/>
      <c r="N70" s="1645"/>
      <c r="O70" s="1645"/>
      <c r="Q70" s="1164"/>
      <c r="R70" s="1640"/>
      <c r="S70" s="1640"/>
      <c r="T70" s="1164"/>
      <c r="U70" s="1164"/>
      <c r="V70" s="1164"/>
      <c r="W70" s="1164"/>
      <c r="X70" s="1640"/>
      <c r="Y70" s="1164"/>
      <c r="Z70" s="1164"/>
      <c r="AA70" s="548"/>
      <c r="AB70" s="1164"/>
      <c r="AC70" s="1164"/>
      <c r="AD70" s="1164"/>
      <c r="AE70" s="1164"/>
      <c r="AF70" s="1164"/>
      <c r="AG70" s="1636"/>
      <c r="AH70" s="570"/>
      <c r="AI70" s="570"/>
      <c r="AJ70" s="570"/>
      <c r="AK70" s="570"/>
      <c r="AL70" s="1645">
        <v>11</v>
      </c>
    </row>
    <row s="1645" customFormat="1" customHeight="1" ht="11.549999999999999">
      <c r="A71" s="991"/>
      <c r="B71" s="1640"/>
      <c r="C71" s="1640"/>
      <c r="D71" s="355"/>
      <c r="J71" s="1645"/>
      <c r="K71" s="1645"/>
      <c r="L71" s="1645"/>
      <c r="M71" s="1645"/>
      <c r="N71" s="1645"/>
      <c r="O71" s="1645"/>
      <c r="Q71" s="1164"/>
      <c r="R71" s="1640"/>
      <c r="S71" s="1640"/>
      <c r="T71" s="1164"/>
      <c r="U71" s="1164"/>
      <c r="V71" s="1164"/>
      <c r="W71" s="1164"/>
      <c r="X71" s="1640"/>
      <c r="Y71" s="1164"/>
      <c r="Z71" s="1164"/>
      <c r="AA71" s="548"/>
      <c r="AB71" s="1164"/>
      <c r="AC71" s="1164"/>
      <c r="AD71" s="1164"/>
      <c r="AE71" s="1164"/>
      <c r="AF71" s="1164"/>
      <c r="AG71" s="1636"/>
      <c r="AH71" s="570"/>
      <c r="AI71" s="570"/>
      <c r="AJ71" s="570"/>
      <c r="AK71" s="570"/>
      <c r="AL71" s="1645">
        <v>11</v>
      </c>
    </row>
    <row s="1645" customFormat="1" customHeight="1" ht="11.549999999999999">
      <c r="A72" s="991"/>
      <c r="B72" s="1640"/>
      <c r="C72" s="1640"/>
      <c r="D72" s="355"/>
      <c r="J72" s="1645"/>
      <c r="K72" s="1645"/>
      <c r="L72" s="1645"/>
      <c r="M72" s="1645"/>
      <c r="N72" s="1645"/>
      <c r="O72" s="1645"/>
      <c r="Q72" s="1164"/>
      <c r="R72" s="1640"/>
      <c r="S72" s="1640"/>
      <c r="T72" s="1164"/>
      <c r="U72" s="1164"/>
      <c r="V72" s="1164"/>
      <c r="W72" s="1164"/>
      <c r="X72" s="1640"/>
      <c r="Y72" s="1164"/>
      <c r="Z72" s="1164"/>
      <c r="AA72" s="548"/>
      <c r="AB72" s="1164"/>
      <c r="AC72" s="1164"/>
      <c r="AD72" s="1164"/>
      <c r="AE72" s="1164"/>
      <c r="AF72" s="1164"/>
      <c r="AG72" s="1636"/>
      <c r="AH72" s="570"/>
      <c r="AI72" s="570"/>
      <c r="AJ72" s="570"/>
      <c r="AK72" s="570"/>
      <c r="AL72" s="1645">
        <v>11</v>
      </c>
    </row>
    <row s="1645" customFormat="1" customHeight="1" ht="11.549999999999999">
      <c r="A73" s="991"/>
      <c r="B73" s="1640"/>
      <c r="C73" s="1640"/>
      <c r="D73" s="355"/>
      <c r="J73" s="1645"/>
      <c r="K73" s="1645"/>
      <c r="L73" s="1645"/>
      <c r="M73" s="1645"/>
      <c r="N73" s="1645"/>
      <c r="O73" s="1645"/>
      <c r="Q73" s="1164"/>
      <c r="R73" s="1640"/>
      <c r="S73" s="1640"/>
      <c r="T73" s="1164"/>
      <c r="U73" s="1164"/>
      <c r="V73" s="1164"/>
      <c r="W73" s="1164"/>
      <c r="X73" s="1640"/>
      <c r="Y73" s="1164"/>
      <c r="Z73" s="1164"/>
      <c r="AA73" s="548"/>
      <c r="AB73" s="1164"/>
      <c r="AC73" s="1164"/>
      <c r="AD73" s="1164"/>
      <c r="AE73" s="1164"/>
      <c r="AF73" s="1164"/>
      <c r="AG73" s="1636"/>
      <c r="AH73" s="570"/>
      <c r="AI73" s="570"/>
      <c r="AJ73" s="570"/>
      <c r="AK73" s="570"/>
      <c r="AL73" s="1645">
        <v>11</v>
      </c>
    </row>
    <row s="1645" customFormat="1" customHeight="1" ht="11.549999999999999">
      <c r="A74" s="991"/>
      <c r="B74" s="1640"/>
      <c r="C74" s="1640"/>
      <c r="D74" s="355"/>
      <c r="J74" s="1645"/>
      <c r="K74" s="1645"/>
      <c r="L74" s="1645"/>
      <c r="M74" s="1645"/>
      <c r="N74" s="1645"/>
      <c r="O74" s="1645"/>
      <c r="Q74" s="1164"/>
      <c r="R74" s="1640"/>
      <c r="S74" s="1640"/>
      <c r="T74" s="1164"/>
      <c r="U74" s="1164"/>
      <c r="V74" s="1164"/>
      <c r="W74" s="1164"/>
      <c r="X74" s="1640"/>
      <c r="Y74" s="1164"/>
      <c r="Z74" s="1164"/>
      <c r="AA74" s="548"/>
      <c r="AB74" s="1164"/>
      <c r="AC74" s="1164"/>
      <c r="AD74" s="1164"/>
      <c r="AE74" s="1164"/>
      <c r="AF74" s="1164"/>
      <c r="AG74" s="1636"/>
      <c r="AH74" s="570"/>
      <c r="AI74" s="570"/>
      <c r="AJ74" s="570"/>
      <c r="AK74" s="570"/>
      <c r="AL74" s="1645">
        <v>11</v>
      </c>
    </row>
    <row s="1645" customFormat="1" customHeight="1" ht="11.549999999999999">
      <c r="A75" s="991"/>
      <c r="B75" s="1640"/>
      <c r="C75" s="1640"/>
      <c r="D75" s="355"/>
      <c r="J75" s="1645"/>
      <c r="K75" s="1645"/>
      <c r="L75" s="1645"/>
      <c r="M75" s="1645"/>
      <c r="N75" s="1645"/>
      <c r="O75" s="1645"/>
      <c r="Q75" s="1164"/>
      <c r="R75" s="1640"/>
      <c r="S75" s="1640"/>
      <c r="T75" s="1164"/>
      <c r="U75" s="1164"/>
      <c r="V75" s="1164"/>
      <c r="W75" s="1164"/>
      <c r="X75" s="1640"/>
      <c r="Y75" s="1164"/>
      <c r="Z75" s="1164"/>
      <c r="AA75" s="548"/>
      <c r="AB75" s="1164"/>
      <c r="AC75" s="1164"/>
      <c r="AD75" s="1164"/>
      <c r="AE75" s="1164"/>
      <c r="AF75" s="1164"/>
      <c r="AG75" s="1636"/>
      <c r="AH75" s="570"/>
      <c r="AI75" s="570"/>
      <c r="AJ75" s="570"/>
      <c r="AK75" s="570"/>
      <c r="AL75" s="1645">
        <v>11</v>
      </c>
    </row>
    <row s="1645" customFormat="1" customHeight="1" ht="11.549999999999999">
      <c r="A76" s="991"/>
      <c r="B76" s="1640"/>
      <c r="C76" s="1640"/>
      <c r="D76" s="355"/>
      <c r="J76" s="1645"/>
      <c r="K76" s="1645"/>
      <c r="L76" s="1645"/>
      <c r="M76" s="1645"/>
      <c r="N76" s="1645"/>
      <c r="O76" s="1645"/>
      <c r="Q76" s="1164"/>
      <c r="R76" s="1640"/>
      <c r="S76" s="1640"/>
      <c r="T76" s="1164"/>
      <c r="U76" s="1164"/>
      <c r="V76" s="1164"/>
      <c r="W76" s="1164"/>
      <c r="X76" s="1640"/>
      <c r="Y76" s="1164"/>
      <c r="Z76" s="1164"/>
      <c r="AA76" s="548"/>
      <c r="AB76" s="1164"/>
      <c r="AC76" s="1164"/>
      <c r="AD76" s="1164"/>
      <c r="AE76" s="1164"/>
      <c r="AF76" s="1164"/>
      <c r="AG76" s="1636"/>
      <c r="AH76" s="570"/>
      <c r="AI76" s="570"/>
      <c r="AJ76" s="570"/>
      <c r="AK76" s="570"/>
      <c r="AL76" s="1645">
        <v>11</v>
      </c>
    </row>
    <row s="1645" customFormat="1" customHeight="1" ht="11.549999999999999">
      <c r="A77" s="991"/>
      <c r="B77" s="1640"/>
      <c r="C77" s="1640"/>
      <c r="D77" s="355"/>
      <c r="J77" s="1645"/>
      <c r="K77" s="1645"/>
      <c r="L77" s="1645"/>
      <c r="M77" s="1645"/>
      <c r="N77" s="1645"/>
      <c r="O77" s="1645"/>
      <c r="Q77" s="1164"/>
      <c r="R77" s="1640"/>
      <c r="S77" s="1640"/>
      <c r="T77" s="1164"/>
      <c r="U77" s="1164"/>
      <c r="V77" s="1164"/>
      <c r="W77" s="1164"/>
      <c r="X77" s="1640"/>
      <c r="Y77" s="1164"/>
      <c r="Z77" s="1164"/>
      <c r="AA77" s="548"/>
      <c r="AB77" s="1164"/>
      <c r="AC77" s="1164"/>
      <c r="AD77" s="1164"/>
      <c r="AE77" s="1164"/>
      <c r="AF77" s="1164"/>
      <c r="AG77" s="1636"/>
      <c r="AH77" s="570"/>
      <c r="AI77" s="570"/>
      <c r="AJ77" s="570"/>
      <c r="AK77" s="570"/>
      <c r="AL77" s="1645">
        <v>11</v>
      </c>
    </row>
    <row s="1645" customFormat="1" customHeight="1" ht="11.549999999999999">
      <c r="A78" s="991"/>
      <c r="B78" s="1640"/>
      <c r="C78" s="1640"/>
      <c r="D78" s="355"/>
      <c r="J78" s="1645"/>
      <c r="K78" s="1645"/>
      <c r="L78" s="1645"/>
      <c r="M78" s="1645"/>
      <c r="N78" s="1645"/>
      <c r="O78" s="1645"/>
      <c r="Q78" s="1164"/>
      <c r="R78" s="1640"/>
      <c r="S78" s="1640"/>
      <c r="T78" s="1164"/>
      <c r="U78" s="1164"/>
      <c r="V78" s="1164"/>
      <c r="W78" s="1164"/>
      <c r="X78" s="1640"/>
      <c r="Y78" s="1164"/>
      <c r="Z78" s="1164"/>
      <c r="AA78" s="548"/>
      <c r="AB78" s="1164"/>
      <c r="AC78" s="1164"/>
      <c r="AD78" s="1164"/>
      <c r="AE78" s="1164"/>
      <c r="AF78" s="1164"/>
      <c r="AG78" s="1636"/>
      <c r="AH78" s="570"/>
      <c r="AI78" s="570"/>
      <c r="AJ78" s="570"/>
      <c r="AK78" s="570"/>
      <c r="AL78" s="1645">
        <v>11</v>
      </c>
    </row>
    <row s="1645" customFormat="1" customHeight="1" ht="11.549999999999999">
      <c r="A79" s="991"/>
      <c r="B79" s="1640"/>
      <c r="C79" s="1640"/>
      <c r="D79" s="355"/>
      <c r="J79" s="1645"/>
      <c r="K79" s="1645"/>
      <c r="L79" s="1645"/>
      <c r="M79" s="1645"/>
      <c r="N79" s="1645"/>
      <c r="O79" s="1645"/>
      <c r="Q79" s="1164"/>
      <c r="R79" s="1640"/>
      <c r="S79" s="1640"/>
      <c r="T79" s="1164"/>
      <c r="U79" s="1164"/>
      <c r="V79" s="1164"/>
      <c r="W79" s="1164"/>
      <c r="X79" s="1640"/>
      <c r="Y79" s="1164"/>
      <c r="Z79" s="1164"/>
      <c r="AA79" s="548"/>
      <c r="AB79" s="1164"/>
      <c r="AC79" s="1164"/>
      <c r="AD79" s="1164"/>
      <c r="AE79" s="1164"/>
      <c r="AF79" s="1164"/>
      <c r="AG79" s="1636"/>
      <c r="AH79" s="570"/>
      <c r="AI79" s="570"/>
      <c r="AJ79" s="570"/>
      <c r="AK79" s="570"/>
      <c r="AL79" s="1645">
        <v>11</v>
      </c>
    </row>
    <row s="1645" customFormat="1" customHeight="1" ht="11.549999999999999">
      <c r="A80" s="991"/>
      <c r="B80" s="1640"/>
      <c r="C80" s="1640"/>
      <c r="D80" s="355"/>
      <c r="J80" s="1645"/>
      <c r="K80" s="1645"/>
      <c r="L80" s="1645"/>
      <c r="M80" s="1645"/>
      <c r="N80" s="1645"/>
      <c r="O80" s="1645"/>
      <c r="Q80" s="1164"/>
      <c r="R80" s="1640"/>
      <c r="S80" s="1640"/>
      <c r="T80" s="1164"/>
      <c r="U80" s="1164"/>
      <c r="V80" s="1164"/>
      <c r="W80" s="1164"/>
      <c r="X80" s="1640"/>
      <c r="Y80" s="1164"/>
      <c r="Z80" s="1164"/>
      <c r="AA80" s="548"/>
      <c r="AB80" s="1164"/>
      <c r="AC80" s="1164"/>
      <c r="AD80" s="1164"/>
      <c r="AE80" s="1164"/>
      <c r="AF80" s="1164"/>
      <c r="AG80" s="1636"/>
      <c r="AH80" s="570"/>
      <c r="AI80" s="570"/>
      <c r="AJ80" s="570"/>
      <c r="AK80" s="570"/>
      <c r="AL80" s="1645">
        <v>11</v>
      </c>
    </row>
    <row s="1645" customFormat="1" customHeight="1" ht="11.549999999999999">
      <c r="A81" s="991"/>
      <c r="B81" s="1640"/>
      <c r="C81" s="1640"/>
      <c r="D81" s="355"/>
      <c r="J81" s="1645"/>
      <c r="K81" s="1645"/>
      <c r="L81" s="1645"/>
      <c r="M81" s="1645"/>
      <c r="N81" s="1645"/>
      <c r="O81" s="1645"/>
      <c r="Q81" s="1164"/>
      <c r="R81" s="1640"/>
      <c r="S81" s="1640"/>
      <c r="T81" s="1164"/>
      <c r="U81" s="1164"/>
      <c r="V81" s="1164"/>
      <c r="W81" s="1164"/>
      <c r="X81" s="1640"/>
      <c r="Y81" s="1164"/>
      <c r="Z81" s="1164"/>
      <c r="AA81" s="548"/>
      <c r="AB81" s="1164"/>
      <c r="AC81" s="1164"/>
      <c r="AD81" s="1164"/>
      <c r="AE81" s="1164"/>
      <c r="AF81" s="1164"/>
      <c r="AG81" s="1636"/>
      <c r="AH81" s="570"/>
      <c r="AI81" s="570"/>
      <c r="AJ81" s="570"/>
      <c r="AK81" s="570"/>
      <c r="AL81" s="1645">
        <v>11</v>
      </c>
    </row>
    <row s="1645" customFormat="1" customHeight="1" ht="11.549999999999999">
      <c r="A82" s="991"/>
      <c r="B82" s="1640"/>
      <c r="C82" s="1640"/>
      <c r="D82" s="355"/>
      <c r="J82" s="1645"/>
      <c r="K82" s="1645"/>
      <c r="L82" s="1645"/>
      <c r="M82" s="1645"/>
      <c r="N82" s="1645"/>
      <c r="O82" s="1645"/>
      <c r="Q82" s="1164"/>
      <c r="R82" s="1640"/>
      <c r="S82" s="1640"/>
      <c r="T82" s="1164"/>
      <c r="U82" s="1164"/>
      <c r="V82" s="1164"/>
      <c r="W82" s="1164"/>
      <c r="X82" s="1640"/>
      <c r="Y82" s="1164"/>
      <c r="Z82" s="1164"/>
      <c r="AA82" s="548"/>
      <c r="AB82" s="1164"/>
      <c r="AC82" s="1164"/>
      <c r="AD82" s="1164"/>
      <c r="AE82" s="1164"/>
      <c r="AF82" s="1164"/>
      <c r="AG82" s="1636"/>
      <c r="AH82" s="570"/>
      <c r="AI82" s="570"/>
      <c r="AJ82" s="570"/>
      <c r="AK82" s="570"/>
      <c r="AL82" s="1645">
        <v>11</v>
      </c>
    </row>
    <row s="1645" customFormat="1" customHeight="1" ht="11.549999999999999">
      <c r="A83" s="991"/>
      <c r="B83" s="1640"/>
      <c r="C83" s="1640"/>
      <c r="D83" s="355"/>
      <c r="J83" s="1645"/>
      <c r="K83" s="1645"/>
      <c r="L83" s="1645"/>
      <c r="M83" s="1645"/>
      <c r="N83" s="1645"/>
      <c r="O83" s="1645"/>
      <c r="Q83" s="1164"/>
      <c r="R83" s="1640"/>
      <c r="S83" s="1640"/>
      <c r="T83" s="1164"/>
      <c r="U83" s="1164"/>
      <c r="V83" s="1164"/>
      <c r="W83" s="1164"/>
      <c r="X83" s="1640"/>
      <c r="Y83" s="1164"/>
      <c r="Z83" s="1164"/>
      <c r="AA83" s="548"/>
      <c r="AB83" s="1164"/>
      <c r="AC83" s="1164"/>
      <c r="AD83" s="1164"/>
      <c r="AE83" s="1164"/>
      <c r="AF83" s="1164"/>
      <c r="AG83" s="1636"/>
      <c r="AH83" s="570"/>
      <c r="AI83" s="570"/>
      <c r="AJ83" s="570"/>
      <c r="AK83" s="570"/>
      <c r="AL83" s="1645">
        <v>11</v>
      </c>
    </row>
    <row s="1645" customFormat="1" customHeight="1" ht="11.549999999999999">
      <c r="A84" s="991"/>
      <c r="B84" s="1640"/>
      <c r="C84" s="1640"/>
      <c r="D84" s="355"/>
      <c r="J84" s="1645"/>
      <c r="K84" s="1645"/>
      <c r="L84" s="1645"/>
      <c r="M84" s="1645"/>
      <c r="N84" s="1645"/>
      <c r="O84" s="1645"/>
      <c r="Q84" s="1164"/>
      <c r="R84" s="1640"/>
      <c r="S84" s="1640"/>
      <c r="T84" s="1164"/>
      <c r="U84" s="1164"/>
      <c r="V84" s="1164"/>
      <c r="W84" s="1164"/>
      <c r="X84" s="1640"/>
      <c r="Y84" s="1164"/>
      <c r="Z84" s="1164"/>
      <c r="AA84" s="548"/>
      <c r="AB84" s="1164"/>
      <c r="AC84" s="1164"/>
      <c r="AD84" s="1164"/>
      <c r="AE84" s="1164"/>
      <c r="AF84" s="1164"/>
      <c r="AG84" s="1636"/>
      <c r="AH84" s="570"/>
      <c r="AI84" s="570"/>
      <c r="AJ84" s="570"/>
      <c r="AK84" s="570"/>
      <c r="AL84" s="1645">
        <v>11</v>
      </c>
    </row>
    <row s="1645" customFormat="1" customHeight="1" ht="11.549999999999999">
      <c r="A85" s="991"/>
      <c r="B85" s="1640"/>
      <c r="C85" s="1640"/>
      <c r="D85" s="355"/>
      <c r="J85" s="1645"/>
      <c r="K85" s="1645"/>
      <c r="L85" s="1645"/>
      <c r="M85" s="1645"/>
      <c r="N85" s="1645"/>
      <c r="O85" s="1645"/>
      <c r="Q85" s="1164"/>
      <c r="R85" s="1640"/>
      <c r="S85" s="1640"/>
      <c r="T85" s="1164"/>
      <c r="U85" s="1164"/>
      <c r="V85" s="1164"/>
      <c r="W85" s="1164"/>
      <c r="X85" s="1640"/>
      <c r="Y85" s="1164"/>
      <c r="Z85" s="1164"/>
      <c r="AA85" s="548"/>
      <c r="AB85" s="1164"/>
      <c r="AC85" s="1164"/>
      <c r="AD85" s="1164"/>
      <c r="AE85" s="1164"/>
      <c r="AF85" s="1164"/>
      <c r="AG85" s="1636"/>
      <c r="AH85" s="570"/>
      <c r="AI85" s="570"/>
      <c r="AJ85" s="570"/>
      <c r="AK85" s="570"/>
      <c r="AL85" s="1645">
        <v>11</v>
      </c>
    </row>
    <row s="1645" customFormat="1" customHeight="1" ht="11.549999999999999">
      <c r="A86" s="991"/>
      <c r="B86" s="1640"/>
      <c r="C86" s="1640"/>
      <c r="D86" s="355"/>
      <c r="J86" s="1645"/>
      <c r="K86" s="1645"/>
      <c r="L86" s="1645"/>
      <c r="M86" s="1645"/>
      <c r="N86" s="1645"/>
      <c r="O86" s="1645"/>
      <c r="Q86" s="1164"/>
      <c r="R86" s="1640"/>
      <c r="S86" s="1640"/>
      <c r="T86" s="1164"/>
      <c r="U86" s="1164"/>
      <c r="V86" s="1164"/>
      <c r="W86" s="1164"/>
      <c r="X86" s="1640"/>
      <c r="Y86" s="1164"/>
      <c r="Z86" s="1164"/>
      <c r="AA86" s="548"/>
      <c r="AB86" s="1164"/>
      <c r="AC86" s="1164"/>
      <c r="AD86" s="1164"/>
      <c r="AE86" s="1164"/>
      <c r="AF86" s="1164"/>
      <c r="AG86" s="1636"/>
      <c r="AH86" s="570"/>
      <c r="AI86" s="570"/>
      <c r="AJ86" s="570"/>
      <c r="AK86" s="570"/>
      <c r="AL86" s="1645">
        <v>11</v>
      </c>
    </row>
    <row s="1645" customFormat="1" customHeight="1" ht="11.549999999999999">
      <c r="A87" s="991"/>
      <c r="B87" s="1640"/>
      <c r="C87" s="1640"/>
      <c r="D87" s="355"/>
      <c r="J87" s="1645"/>
      <c r="K87" s="1645"/>
      <c r="L87" s="1645"/>
      <c r="M87" s="1645"/>
      <c r="N87" s="1645"/>
      <c r="O87" s="1645"/>
      <c r="Q87" s="1164"/>
      <c r="R87" s="1640"/>
      <c r="S87" s="1640"/>
      <c r="T87" s="1164"/>
      <c r="U87" s="1164"/>
      <c r="V87" s="1164"/>
      <c r="W87" s="1164"/>
      <c r="X87" s="1640"/>
      <c r="Y87" s="1164"/>
      <c r="Z87" s="1164"/>
      <c r="AA87" s="548"/>
      <c r="AB87" s="1164"/>
      <c r="AC87" s="1164"/>
      <c r="AD87" s="1164"/>
      <c r="AE87" s="1164"/>
      <c r="AF87" s="1164"/>
      <c r="AG87" s="1636"/>
      <c r="AH87" s="570"/>
      <c r="AI87" s="570"/>
      <c r="AJ87" s="570"/>
      <c r="AK87" s="570"/>
      <c r="AL87" s="1645">
        <v>11</v>
      </c>
    </row>
    <row s="1645" customFormat="1" customHeight="1" ht="11.549999999999999">
      <c r="A88" s="991"/>
      <c r="B88" s="1640"/>
      <c r="C88" s="1640"/>
      <c r="D88" s="355"/>
      <c r="J88" s="1645"/>
      <c r="K88" s="1645"/>
      <c r="L88" s="1645"/>
      <c r="M88" s="1645"/>
      <c r="N88" s="1645"/>
      <c r="O88" s="1645"/>
      <c r="Q88" s="1164"/>
      <c r="R88" s="1640"/>
      <c r="S88" s="1640"/>
      <c r="T88" s="1164"/>
      <c r="U88" s="1164"/>
      <c r="V88" s="1164"/>
      <c r="W88" s="1164"/>
      <c r="X88" s="1640"/>
      <c r="Y88" s="1164"/>
      <c r="Z88" s="1164"/>
      <c r="AA88" s="548"/>
      <c r="AB88" s="1164"/>
      <c r="AC88" s="1164"/>
      <c r="AD88" s="1164"/>
      <c r="AE88" s="1164"/>
      <c r="AF88" s="1164"/>
      <c r="AG88" s="1636"/>
      <c r="AH88" s="570"/>
      <c r="AI88" s="570"/>
      <c r="AJ88" s="570"/>
      <c r="AK88" s="570"/>
      <c r="AL88" s="1645">
        <v>11</v>
      </c>
    </row>
    <row s="1645" customFormat="1" customHeight="1" ht="11.549999999999999">
      <c r="A89" s="991"/>
      <c r="B89" s="1640"/>
      <c r="C89" s="1640"/>
      <c r="D89" s="355"/>
      <c r="J89" s="1645"/>
      <c r="K89" s="1645"/>
      <c r="L89" s="1645"/>
      <c r="M89" s="1645"/>
      <c r="N89" s="1645"/>
      <c r="O89" s="1645"/>
      <c r="Q89" s="1164"/>
      <c r="R89" s="1640"/>
      <c r="S89" s="1640"/>
      <c r="T89" s="1164"/>
      <c r="U89" s="1164"/>
      <c r="V89" s="1164"/>
      <c r="W89" s="1164"/>
      <c r="X89" s="1640"/>
      <c r="Y89" s="1164"/>
      <c r="Z89" s="1164"/>
      <c r="AA89" s="548"/>
      <c r="AB89" s="1164"/>
      <c r="AC89" s="1164"/>
      <c r="AD89" s="1164"/>
      <c r="AE89" s="1164"/>
      <c r="AF89" s="1164"/>
      <c r="AG89" s="1636"/>
      <c r="AH89" s="570"/>
      <c r="AI89" s="570"/>
      <c r="AJ89" s="570"/>
      <c r="AK89" s="570"/>
      <c r="AL89" s="1645">
        <v>11</v>
      </c>
    </row>
    <row s="1645" customFormat="1" customHeight="1" ht="11.549999999999999">
      <c r="A90" s="991"/>
      <c r="B90" s="1640"/>
      <c r="C90" s="1640"/>
      <c r="D90" s="355"/>
      <c r="J90" s="1645"/>
      <c r="K90" s="1645"/>
      <c r="L90" s="1645"/>
      <c r="M90" s="1645"/>
      <c r="N90" s="1645"/>
      <c r="O90" s="1645"/>
      <c r="Q90" s="1164"/>
      <c r="R90" s="1640"/>
      <c r="S90" s="1640"/>
      <c r="T90" s="1164"/>
      <c r="U90" s="1164"/>
      <c r="V90" s="1164"/>
      <c r="W90" s="1164"/>
      <c r="X90" s="1640"/>
      <c r="Y90" s="1164"/>
      <c r="Z90" s="1164"/>
      <c r="AA90" s="548"/>
      <c r="AB90" s="1164"/>
      <c r="AC90" s="1164"/>
      <c r="AD90" s="1164"/>
      <c r="AE90" s="1164"/>
      <c r="AF90" s="1164"/>
      <c r="AG90" s="1636"/>
      <c r="AH90" s="570"/>
      <c r="AI90" s="570"/>
      <c r="AJ90" s="570"/>
      <c r="AK90" s="570"/>
      <c r="AL90" s="1645">
        <v>11</v>
      </c>
    </row>
    <row s="1645" customFormat="1" customHeight="1" ht="11.549999999999999">
      <c r="A91" s="991"/>
      <c r="B91" s="1640"/>
      <c r="C91" s="1640"/>
      <c r="D91" s="355"/>
      <c r="J91" s="1645"/>
      <c r="K91" s="1645"/>
      <c r="L91" s="1645"/>
      <c r="M91" s="1645"/>
      <c r="N91" s="1645"/>
      <c r="O91" s="1645"/>
      <c r="Q91" s="1164"/>
      <c r="R91" s="1640"/>
      <c r="S91" s="1640"/>
      <c r="T91" s="1164"/>
      <c r="U91" s="1164"/>
      <c r="V91" s="1164"/>
      <c r="W91" s="1164"/>
      <c r="X91" s="1640"/>
      <c r="Y91" s="1164"/>
      <c r="Z91" s="1164"/>
      <c r="AA91" s="548"/>
      <c r="AB91" s="1164"/>
      <c r="AC91" s="1164"/>
      <c r="AD91" s="1164"/>
      <c r="AE91" s="1164"/>
      <c r="AF91" s="1164"/>
      <c r="AG91" s="1636"/>
      <c r="AH91" s="570"/>
      <c r="AI91" s="570"/>
      <c r="AJ91" s="570"/>
      <c r="AK91" s="570"/>
      <c r="AL91" s="1645">
        <v>11</v>
      </c>
    </row>
    <row s="1645" customFormat="1" customHeight="1" ht="11.549999999999999">
      <c r="A92" s="991"/>
      <c r="B92" s="1640"/>
      <c r="C92" s="1640"/>
      <c r="D92" s="355"/>
      <c r="J92" s="1645"/>
      <c r="K92" s="1645"/>
      <c r="L92" s="1645"/>
      <c r="M92" s="1645"/>
      <c r="N92" s="1645"/>
      <c r="O92" s="1645"/>
      <c r="Q92" s="1164"/>
      <c r="R92" s="1640"/>
      <c r="S92" s="1640"/>
      <c r="T92" s="1164"/>
      <c r="U92" s="1164"/>
      <c r="V92" s="1164"/>
      <c r="W92" s="1164"/>
      <c r="X92" s="1640"/>
      <c r="Y92" s="1164"/>
      <c r="Z92" s="1164"/>
      <c r="AA92" s="548"/>
      <c r="AB92" s="1164"/>
      <c r="AC92" s="1164"/>
      <c r="AD92" s="1164"/>
      <c r="AE92" s="1164"/>
      <c r="AF92" s="1164"/>
      <c r="AG92" s="1636"/>
      <c r="AH92" s="570"/>
      <c r="AI92" s="570"/>
      <c r="AJ92" s="570"/>
      <c r="AK92" s="570"/>
      <c r="AL92" s="1645">
        <v>11</v>
      </c>
    </row>
    <row s="1645" customFormat="1" customHeight="1" ht="11.549999999999999">
      <c r="A93" s="991"/>
      <c r="B93" s="1640"/>
      <c r="C93" s="1640"/>
      <c r="D93" s="355"/>
      <c r="J93" s="1645"/>
      <c r="K93" s="1645"/>
      <c r="L93" s="1645"/>
      <c r="M93" s="1645"/>
      <c r="N93" s="1645"/>
      <c r="O93" s="1645"/>
      <c r="Q93" s="1164"/>
      <c r="R93" s="1640"/>
      <c r="S93" s="1640"/>
      <c r="T93" s="1164"/>
      <c r="U93" s="1164"/>
      <c r="V93" s="1164"/>
      <c r="W93" s="1164"/>
      <c r="X93" s="1640"/>
      <c r="Y93" s="1164"/>
      <c r="Z93" s="1164"/>
      <c r="AA93" s="548"/>
      <c r="AB93" s="1164"/>
      <c r="AC93" s="1164"/>
      <c r="AD93" s="1164"/>
      <c r="AE93" s="1164"/>
      <c r="AF93" s="1164"/>
      <c r="AG93" s="1636"/>
      <c r="AH93" s="570"/>
      <c r="AI93" s="570"/>
      <c r="AJ93" s="570"/>
      <c r="AK93" s="570"/>
      <c r="AL93" s="1645">
        <v>11</v>
      </c>
    </row>
    <row s="1645" customFormat="1" customHeight="1" ht="11.549999999999999">
      <c r="A94" s="991"/>
      <c r="B94" s="1640"/>
      <c r="C94" s="1640"/>
      <c r="D94" s="355"/>
      <c r="J94" s="1645"/>
      <c r="K94" s="1645"/>
      <c r="L94" s="1645"/>
      <c r="M94" s="1645"/>
      <c r="N94" s="1645"/>
      <c r="O94" s="1645"/>
      <c r="Q94" s="1164"/>
      <c r="R94" s="1640"/>
      <c r="S94" s="1640"/>
      <c r="T94" s="1164"/>
      <c r="U94" s="1164"/>
      <c r="V94" s="1164"/>
      <c r="W94" s="1164"/>
      <c r="X94" s="1640"/>
      <c r="Y94" s="1164"/>
      <c r="Z94" s="1164"/>
      <c r="AA94" s="548"/>
      <c r="AB94" s="1164"/>
      <c r="AC94" s="1164"/>
      <c r="AD94" s="1164"/>
      <c r="AE94" s="1164"/>
      <c r="AF94" s="1164"/>
      <c r="AG94" s="1636"/>
      <c r="AH94" s="570"/>
      <c r="AI94" s="570"/>
      <c r="AJ94" s="570"/>
      <c r="AK94" s="570"/>
      <c r="AL94" s="1645">
        <v>11</v>
      </c>
    </row>
    <row s="1645" customFormat="1" customHeight="1" ht="11.549999999999999">
      <c r="A95" s="991"/>
      <c r="B95" s="1640"/>
      <c r="C95" s="1640"/>
      <c r="D95" s="355"/>
      <c r="J95" s="1645"/>
      <c r="K95" s="1645"/>
      <c r="L95" s="1645"/>
      <c r="M95" s="1645"/>
      <c r="N95" s="1645"/>
      <c r="O95" s="1645"/>
      <c r="Q95" s="1164"/>
      <c r="R95" s="1640"/>
      <c r="S95" s="1640"/>
      <c r="T95" s="1164"/>
      <c r="U95" s="1164"/>
      <c r="V95" s="1164"/>
      <c r="W95" s="1164"/>
      <c r="X95" s="1640"/>
      <c r="Y95" s="1164"/>
      <c r="Z95" s="1164"/>
      <c r="AA95" s="548"/>
      <c r="AB95" s="1164"/>
      <c r="AC95" s="1164"/>
      <c r="AD95" s="1164"/>
      <c r="AE95" s="1164"/>
      <c r="AF95" s="1164"/>
      <c r="AG95" s="1636"/>
      <c r="AH95" s="570"/>
      <c r="AI95" s="570"/>
      <c r="AJ95" s="570"/>
      <c r="AK95" s="570"/>
      <c r="AL95" s="1645">
        <v>11</v>
      </c>
    </row>
    <row s="1645" customFormat="1" customHeight="1" ht="11.549999999999999">
      <c r="A96" s="991"/>
      <c r="B96" s="1640"/>
      <c r="C96" s="1640"/>
      <c r="D96" s="355"/>
      <c r="J96" s="1645"/>
      <c r="K96" s="1645"/>
      <c r="L96" s="1645"/>
      <c r="M96" s="1645"/>
      <c r="N96" s="1645"/>
      <c r="O96" s="1645"/>
      <c r="Q96" s="1164"/>
      <c r="R96" s="1640"/>
      <c r="S96" s="1640"/>
      <c r="T96" s="1164"/>
      <c r="U96" s="1164"/>
      <c r="V96" s="1164"/>
      <c r="W96" s="1164"/>
      <c r="X96" s="1640"/>
      <c r="Y96" s="1164"/>
      <c r="Z96" s="1164"/>
      <c r="AA96" s="548"/>
      <c r="AB96" s="1164"/>
      <c r="AC96" s="1164"/>
      <c r="AD96" s="1164"/>
      <c r="AE96" s="1164"/>
      <c r="AF96" s="1164"/>
      <c r="AG96" s="1636"/>
      <c r="AH96" s="570"/>
      <c r="AI96" s="570"/>
      <c r="AJ96" s="570"/>
      <c r="AK96" s="570"/>
      <c r="AL96" s="1645">
        <v>11</v>
      </c>
    </row>
    <row s="1645" customFormat="1" customHeight="1" ht="11.549999999999999">
      <c r="A97" s="991"/>
      <c r="B97" s="1640"/>
      <c r="C97" s="1640"/>
      <c r="D97" s="355"/>
      <c r="J97" s="1645"/>
      <c r="K97" s="1645"/>
      <c r="L97" s="1645"/>
      <c r="M97" s="1645"/>
      <c r="N97" s="1645"/>
      <c r="O97" s="1645"/>
      <c r="Q97" s="1164"/>
      <c r="R97" s="1640"/>
      <c r="S97" s="1640"/>
      <c r="T97" s="1164"/>
      <c r="U97" s="1164"/>
      <c r="V97" s="1164"/>
      <c r="W97" s="1164"/>
      <c r="X97" s="1640"/>
      <c r="Y97" s="1164"/>
      <c r="Z97" s="1164"/>
      <c r="AA97" s="548"/>
      <c r="AB97" s="1164"/>
      <c r="AC97" s="1164"/>
      <c r="AD97" s="1164"/>
      <c r="AE97" s="1164"/>
      <c r="AF97" s="1164"/>
      <c r="AG97" s="1636"/>
      <c r="AH97" s="570"/>
      <c r="AI97" s="570"/>
      <c r="AJ97" s="570"/>
      <c r="AK97" s="570"/>
      <c r="AL97" s="1645">
        <v>11</v>
      </c>
    </row>
    <row s="1645" customFormat="1" customHeight="1" ht="11.549999999999999">
      <c r="A98" s="991"/>
      <c r="B98" s="1640"/>
      <c r="C98" s="1640"/>
      <c r="D98" s="355"/>
      <c r="J98" s="1645"/>
      <c r="K98" s="1645"/>
      <c r="L98" s="1645"/>
      <c r="M98" s="1645"/>
      <c r="N98" s="1645"/>
      <c r="O98" s="1645"/>
      <c r="Q98" s="1164"/>
      <c r="R98" s="1640"/>
      <c r="S98" s="1640"/>
      <c r="T98" s="1164"/>
      <c r="U98" s="1164"/>
      <c r="V98" s="1164"/>
      <c r="W98" s="1164"/>
      <c r="X98" s="1640"/>
      <c r="Y98" s="1164"/>
      <c r="Z98" s="1164"/>
      <c r="AA98" s="548"/>
      <c r="AB98" s="1164"/>
      <c r="AC98" s="1164"/>
      <c r="AD98" s="1164"/>
      <c r="AE98" s="1164"/>
      <c r="AF98" s="1164"/>
      <c r="AG98" s="1636"/>
      <c r="AH98" s="570"/>
      <c r="AI98" s="570"/>
      <c r="AJ98" s="570"/>
      <c r="AK98" s="570"/>
      <c r="AL98" s="1645">
        <v>11</v>
      </c>
    </row>
    <row s="1645" customFormat="1" customHeight="1" ht="11.549999999999999">
      <c r="A99" s="991"/>
      <c r="B99" s="1640"/>
      <c r="C99" s="1640"/>
      <c r="D99" s="355"/>
      <c r="J99" s="1645"/>
      <c r="K99" s="1645"/>
      <c r="L99" s="1645"/>
      <c r="M99" s="1645"/>
      <c r="N99" s="1645"/>
      <c r="O99" s="1645"/>
      <c r="Q99" s="1164"/>
      <c r="R99" s="1640"/>
      <c r="S99" s="1640"/>
      <c r="T99" s="1164"/>
      <c r="U99" s="1164"/>
      <c r="V99" s="1164"/>
      <c r="W99" s="1164"/>
      <c r="X99" s="1640"/>
      <c r="Y99" s="1164"/>
      <c r="Z99" s="1164"/>
      <c r="AA99" s="548"/>
      <c r="AB99" s="1164"/>
      <c r="AC99" s="1164"/>
      <c r="AD99" s="1164"/>
      <c r="AE99" s="1164"/>
      <c r="AF99" s="1164"/>
      <c r="AG99" s="1636"/>
      <c r="AH99" s="570"/>
      <c r="AI99" s="570"/>
      <c r="AJ99" s="570"/>
      <c r="AK99" s="570"/>
      <c r="AL99" s="1645">
        <v>11</v>
      </c>
    </row>
    <row s="1645" customFormat="1" customHeight="1" ht="11.549999999999999">
      <c r="A100" s="991"/>
      <c r="B100" s="1640"/>
      <c r="C100" s="1640"/>
      <c r="D100" s="355"/>
      <c r="J100" s="1645"/>
      <c r="K100" s="1645"/>
      <c r="L100" s="1645"/>
      <c r="M100" s="1645"/>
      <c r="N100" s="1645"/>
      <c r="O100" s="1645"/>
      <c r="Q100" s="1164"/>
      <c r="R100" s="1640"/>
      <c r="S100" s="1640"/>
      <c r="T100" s="1164"/>
      <c r="U100" s="1164"/>
      <c r="V100" s="1164"/>
      <c r="W100" s="1164"/>
      <c r="X100" s="1640"/>
      <c r="Y100" s="1164"/>
      <c r="Z100" s="1164"/>
      <c r="AA100" s="548"/>
      <c r="AB100" s="1164"/>
      <c r="AC100" s="1164"/>
      <c r="AD100" s="1164"/>
      <c r="AE100" s="1164"/>
      <c r="AF100" s="1164"/>
      <c r="AG100" s="1636"/>
      <c r="AH100" s="570"/>
      <c r="AI100" s="570"/>
      <c r="AJ100" s="570"/>
      <c r="AK100" s="570"/>
      <c r="AL100" s="1645">
        <v>11</v>
      </c>
    </row>
    <row s="1645" customFormat="1" customHeight="1" ht="11.549999999999999">
      <c r="A101" s="991"/>
      <c r="B101" s="1640"/>
      <c r="C101" s="1640"/>
      <c r="D101" s="355"/>
      <c r="J101" s="1645"/>
      <c r="K101" s="1645"/>
      <c r="L101" s="1645"/>
      <c r="M101" s="1645"/>
      <c r="N101" s="1645"/>
      <c r="O101" s="1645"/>
      <c r="Q101" s="1164"/>
      <c r="R101" s="1640"/>
      <c r="S101" s="1640"/>
      <c r="T101" s="1164"/>
      <c r="U101" s="1164"/>
      <c r="V101" s="1164"/>
      <c r="W101" s="1164"/>
      <c r="X101" s="1640"/>
      <c r="Y101" s="1164"/>
      <c r="Z101" s="1164"/>
      <c r="AA101" s="548"/>
      <c r="AB101" s="1164"/>
      <c r="AC101" s="1164"/>
      <c r="AD101" s="1164"/>
      <c r="AE101" s="1164"/>
      <c r="AF101" s="1164"/>
      <c r="AG101" s="1636"/>
      <c r="AH101" s="570"/>
      <c r="AI101" s="570"/>
      <c r="AJ101" s="570"/>
      <c r="AK101" s="570"/>
      <c r="AL101" s="1645">
        <v>11</v>
      </c>
    </row>
    <row s="1645" customFormat="1" customHeight="1" ht="11.549999999999999">
      <c r="A102" s="991"/>
      <c r="B102" s="1640"/>
      <c r="C102" s="1640"/>
      <c r="D102" s="355"/>
      <c r="J102" s="1645"/>
      <c r="K102" s="1645"/>
      <c r="L102" s="1645"/>
      <c r="M102" s="1645"/>
      <c r="N102" s="1645"/>
      <c r="O102" s="1645"/>
      <c r="Q102" s="1164"/>
      <c r="R102" s="1640"/>
      <c r="S102" s="1640"/>
      <c r="T102" s="1164"/>
      <c r="U102" s="1164"/>
      <c r="V102" s="1164"/>
      <c r="W102" s="1164"/>
      <c r="X102" s="1640"/>
      <c r="Y102" s="1164"/>
      <c r="Z102" s="1164"/>
      <c r="AA102" s="548"/>
      <c r="AB102" s="1164"/>
      <c r="AC102" s="1164"/>
      <c r="AD102" s="1164"/>
      <c r="AE102" s="1164"/>
      <c r="AF102" s="1164"/>
      <c r="AG102" s="1636"/>
      <c r="AH102" s="570"/>
      <c r="AI102" s="570"/>
      <c r="AJ102" s="570"/>
      <c r="AK102" s="570"/>
      <c r="AL102" s="1645">
        <v>11</v>
      </c>
    </row>
    <row s="1645" customFormat="1" customHeight="1" ht="11.549999999999999">
      <c r="A103" s="991"/>
      <c r="B103" s="1640"/>
      <c r="C103" s="1640"/>
      <c r="D103" s="355"/>
      <c r="J103" s="1645"/>
      <c r="K103" s="1645"/>
      <c r="L103" s="1645"/>
      <c r="M103" s="1645"/>
      <c r="N103" s="1645"/>
      <c r="O103" s="1645"/>
      <c r="Q103" s="1164"/>
      <c r="R103" s="1640"/>
      <c r="S103" s="1640"/>
      <c r="T103" s="1164"/>
      <c r="U103" s="1164"/>
      <c r="V103" s="1164"/>
      <c r="W103" s="1164"/>
      <c r="X103" s="1640"/>
      <c r="Y103" s="1164"/>
      <c r="Z103" s="1164"/>
      <c r="AA103" s="548"/>
      <c r="AB103" s="1164"/>
      <c r="AC103" s="1164"/>
      <c r="AD103" s="1164"/>
      <c r="AE103" s="1164"/>
      <c r="AF103" s="1164"/>
      <c r="AG103" s="1636"/>
      <c r="AH103" s="570"/>
      <c r="AI103" s="570"/>
      <c r="AJ103" s="570"/>
      <c r="AK103" s="570"/>
      <c r="AL103" s="1645">
        <v>11</v>
      </c>
    </row>
    <row s="1645" customFormat="1" customHeight="1" ht="11.549999999999999">
      <c r="A104" s="991"/>
      <c r="B104" s="1640"/>
      <c r="C104" s="1640"/>
      <c r="D104" s="355"/>
      <c r="J104" s="1645"/>
      <c r="K104" s="1645"/>
      <c r="L104" s="1645"/>
      <c r="M104" s="1645"/>
      <c r="N104" s="1645"/>
      <c r="O104" s="1645"/>
      <c r="Q104" s="1164"/>
      <c r="R104" s="1640"/>
      <c r="S104" s="1640"/>
      <c r="T104" s="1164"/>
      <c r="U104" s="1164"/>
      <c r="V104" s="1164"/>
      <c r="W104" s="1164"/>
      <c r="X104" s="1640"/>
      <c r="Y104" s="1164"/>
      <c r="Z104" s="1164"/>
      <c r="AA104" s="548"/>
      <c r="AB104" s="1164"/>
      <c r="AC104" s="1164"/>
      <c r="AD104" s="1164"/>
      <c r="AE104" s="1164"/>
      <c r="AF104" s="1164"/>
      <c r="AG104" s="1636"/>
      <c r="AH104" s="570"/>
      <c r="AI104" s="570"/>
      <c r="AJ104" s="570"/>
      <c r="AK104" s="570"/>
      <c r="AL104" s="1645">
        <v>11</v>
      </c>
    </row>
    <row s="1645" customFormat="1" customHeight="1" ht="11.549999999999999">
      <c r="A105" s="991"/>
      <c r="B105" s="1640"/>
      <c r="C105" s="1640"/>
      <c r="D105" s="355"/>
      <c r="J105" s="1645"/>
      <c r="K105" s="1645"/>
      <c r="L105" s="1645"/>
      <c r="M105" s="1645"/>
      <c r="N105" s="1645"/>
      <c r="O105" s="1645"/>
      <c r="Q105" s="1164"/>
      <c r="R105" s="1640"/>
      <c r="S105" s="1640"/>
      <c r="T105" s="1164"/>
      <c r="U105" s="1164"/>
      <c r="V105" s="1164"/>
      <c r="W105" s="1164"/>
      <c r="X105" s="1640"/>
      <c r="Y105" s="1164"/>
      <c r="Z105" s="1164"/>
      <c r="AA105" s="548"/>
      <c r="AB105" s="1164"/>
      <c r="AC105" s="1164"/>
      <c r="AD105" s="1164"/>
      <c r="AE105" s="1164"/>
      <c r="AF105" s="1164"/>
      <c r="AG105" s="1636"/>
      <c r="AH105" s="570"/>
      <c r="AI105" s="570"/>
      <c r="AJ105" s="570"/>
      <c r="AK105" s="570"/>
      <c r="AL105" s="1645">
        <v>11</v>
      </c>
    </row>
    <row s="1645" customFormat="1" customHeight="1" ht="11.549999999999999">
      <c r="A106" s="991"/>
      <c r="B106" s="1640"/>
      <c r="C106" s="1640"/>
      <c r="D106" s="355"/>
      <c r="J106" s="1645"/>
      <c r="K106" s="1645"/>
      <c r="L106" s="1645"/>
      <c r="M106" s="1645"/>
      <c r="N106" s="1645"/>
      <c r="O106" s="1645"/>
      <c r="Q106" s="1164"/>
      <c r="R106" s="1640"/>
      <c r="S106" s="1640"/>
      <c r="T106" s="1164"/>
      <c r="U106" s="1164"/>
      <c r="V106" s="1164"/>
      <c r="W106" s="1164"/>
      <c r="X106" s="1640"/>
      <c r="Y106" s="1164"/>
      <c r="Z106" s="1164"/>
      <c r="AA106" s="548"/>
      <c r="AB106" s="1164"/>
      <c r="AC106" s="1164"/>
      <c r="AD106" s="1164"/>
      <c r="AE106" s="1164"/>
      <c r="AF106" s="1164"/>
      <c r="AG106" s="1636"/>
      <c r="AH106" s="570"/>
      <c r="AI106" s="570"/>
      <c r="AJ106" s="570"/>
      <c r="AK106" s="570"/>
      <c r="AL106" s="1645">
        <v>11</v>
      </c>
    </row>
    <row s="1645" customFormat="1" customHeight="1" ht="11.549999999999999">
      <c r="A107" s="991"/>
      <c r="B107" s="1640"/>
      <c r="C107" s="1640"/>
      <c r="D107" s="355"/>
      <c r="J107" s="1645"/>
      <c r="K107" s="1645"/>
      <c r="L107" s="1645"/>
      <c r="M107" s="1645"/>
      <c r="N107" s="1645"/>
      <c r="O107" s="1645"/>
      <c r="Q107" s="1164"/>
      <c r="R107" s="1640"/>
      <c r="S107" s="1640"/>
      <c r="T107" s="1164"/>
      <c r="U107" s="1164"/>
      <c r="V107" s="1164"/>
      <c r="W107" s="1164"/>
      <c r="X107" s="1640"/>
      <c r="Y107" s="1164"/>
      <c r="Z107" s="1164"/>
      <c r="AA107" s="548"/>
      <c r="AB107" s="1164"/>
      <c r="AC107" s="1164"/>
      <c r="AD107" s="1164"/>
      <c r="AE107" s="1164"/>
      <c r="AF107" s="1164"/>
      <c r="AG107" s="1636"/>
      <c r="AH107" s="570"/>
      <c r="AI107" s="570"/>
      <c r="AJ107" s="570"/>
      <c r="AK107" s="570"/>
      <c r="AL107" s="1645">
        <v>11</v>
      </c>
    </row>
    <row s="1645" customFormat="1" customHeight="1" ht="11.549999999999999">
      <c r="A108" s="991"/>
      <c r="B108" s="1640"/>
      <c r="C108" s="1640"/>
      <c r="D108" s="355"/>
      <c r="J108" s="1645"/>
      <c r="K108" s="1645"/>
      <c r="L108" s="1645"/>
      <c r="M108" s="1645"/>
      <c r="N108" s="1645"/>
      <c r="O108" s="1645"/>
      <c r="Q108" s="1164"/>
      <c r="R108" s="1640"/>
      <c r="S108" s="1640"/>
      <c r="T108" s="1164"/>
      <c r="U108" s="1164"/>
      <c r="V108" s="1164"/>
      <c r="W108" s="1164"/>
      <c r="X108" s="1640"/>
      <c r="Y108" s="1164"/>
      <c r="Z108" s="1164"/>
      <c r="AA108" s="548"/>
      <c r="AB108" s="1164"/>
      <c r="AC108" s="1164"/>
      <c r="AD108" s="1164"/>
      <c r="AE108" s="1164"/>
      <c r="AF108" s="1164"/>
      <c r="AG108" s="1636"/>
      <c r="AH108" s="570"/>
      <c r="AI108" s="570"/>
      <c r="AJ108" s="570"/>
      <c r="AK108" s="570"/>
      <c r="AL108" s="1645">
        <v>11</v>
      </c>
    </row>
    <row s="1645" customFormat="1" customHeight="1" ht="11.549999999999999">
      <c r="A109" s="991"/>
      <c r="B109" s="1640"/>
      <c r="C109" s="1640"/>
      <c r="D109" s="355"/>
      <c r="J109" s="1645"/>
      <c r="K109" s="1645"/>
      <c r="L109" s="1645"/>
      <c r="M109" s="1645"/>
      <c r="N109" s="1645"/>
      <c r="O109" s="1645"/>
      <c r="Q109" s="1164"/>
      <c r="R109" s="1640"/>
      <c r="S109" s="1640"/>
      <c r="T109" s="1164"/>
      <c r="U109" s="1164"/>
      <c r="V109" s="1164"/>
      <c r="W109" s="1164"/>
      <c r="X109" s="1640"/>
      <c r="Y109" s="1164"/>
      <c r="Z109" s="1164"/>
      <c r="AA109" s="548"/>
      <c r="AB109" s="1164"/>
      <c r="AC109" s="1164"/>
      <c r="AD109" s="1164"/>
      <c r="AE109" s="1164"/>
      <c r="AF109" s="1164"/>
      <c r="AG109" s="1636"/>
      <c r="AH109" s="570"/>
      <c r="AI109" s="570"/>
      <c r="AJ109" s="570"/>
      <c r="AK109" s="570"/>
      <c r="AL109" s="1645">
        <v>11</v>
      </c>
    </row>
    <row s="1645" customFormat="1" customHeight="1" ht="11.549999999999999">
      <c r="A110" s="991"/>
      <c r="B110" s="1640"/>
      <c r="C110" s="1640"/>
      <c r="D110" s="355"/>
      <c r="J110" s="1645"/>
      <c r="K110" s="1645"/>
      <c r="L110" s="1645"/>
      <c r="M110" s="1645"/>
      <c r="N110" s="1645"/>
      <c r="O110" s="1645"/>
      <c r="Q110" s="1164"/>
      <c r="R110" s="1640"/>
      <c r="S110" s="1640"/>
      <c r="T110" s="1164"/>
      <c r="U110" s="1164"/>
      <c r="V110" s="1164"/>
      <c r="W110" s="1164"/>
      <c r="X110" s="1640"/>
      <c r="Y110" s="1164"/>
      <c r="Z110" s="1164"/>
      <c r="AA110" s="548"/>
      <c r="AB110" s="1164"/>
      <c r="AC110" s="1164"/>
      <c r="AD110" s="1164"/>
      <c r="AE110" s="1164"/>
      <c r="AF110" s="1164"/>
      <c r="AG110" s="1636"/>
      <c r="AH110" s="570"/>
      <c r="AI110" s="570"/>
      <c r="AJ110" s="570"/>
      <c r="AK110" s="570"/>
      <c r="AL110" s="1645">
        <v>11</v>
      </c>
    </row>
    <row s="1645" customFormat="1" customHeight="1" ht="11.549999999999999">
      <c r="A111" s="991"/>
      <c r="B111" s="1640"/>
      <c r="C111" s="1640"/>
      <c r="D111" s="355"/>
      <c r="J111" s="1645"/>
      <c r="K111" s="1645"/>
      <c r="L111" s="1645"/>
      <c r="M111" s="1645"/>
      <c r="N111" s="1645"/>
      <c r="O111" s="1645"/>
      <c r="Q111" s="1164"/>
      <c r="R111" s="1640"/>
      <c r="S111" s="1640"/>
      <c r="T111" s="1164"/>
      <c r="U111" s="1164"/>
      <c r="V111" s="1164"/>
      <c r="W111" s="1164"/>
      <c r="X111" s="1640"/>
      <c r="Y111" s="1164"/>
      <c r="Z111" s="1164"/>
      <c r="AA111" s="548"/>
      <c r="AB111" s="1164"/>
      <c r="AC111" s="1164"/>
      <c r="AD111" s="1164"/>
      <c r="AE111" s="1164"/>
      <c r="AF111" s="1164"/>
      <c r="AG111" s="1636"/>
      <c r="AH111" s="570"/>
      <c r="AI111" s="570"/>
      <c r="AJ111" s="570"/>
      <c r="AK111" s="570"/>
      <c r="AL111" s="1645">
        <v>11</v>
      </c>
    </row>
    <row s="1645" customFormat="1" customHeight="1" ht="11.549999999999999">
      <c r="A112" s="991"/>
      <c r="B112" s="1640"/>
      <c r="C112" s="1640"/>
      <c r="D112" s="355"/>
      <c r="J112" s="1645"/>
      <c r="K112" s="1645"/>
      <c r="L112" s="1645"/>
      <c r="M112" s="1645"/>
      <c r="N112" s="1645"/>
      <c r="O112" s="1645"/>
      <c r="Q112" s="1164"/>
      <c r="R112" s="1640"/>
      <c r="S112" s="1640"/>
      <c r="T112" s="1164"/>
      <c r="U112" s="1164"/>
      <c r="V112" s="1164"/>
      <c r="W112" s="1164"/>
      <c r="X112" s="1640"/>
      <c r="Y112" s="1164"/>
      <c r="Z112" s="1164"/>
      <c r="AA112" s="548"/>
      <c r="AB112" s="1164"/>
      <c r="AC112" s="1164"/>
      <c r="AD112" s="1164"/>
      <c r="AE112" s="1164"/>
      <c r="AF112" s="1164"/>
      <c r="AG112" s="1636"/>
      <c r="AH112" s="570"/>
      <c r="AI112" s="570"/>
      <c r="AJ112" s="570"/>
      <c r="AK112" s="570"/>
      <c r="AL112" s="1645">
        <v>11</v>
      </c>
    </row>
    <row s="1645" customFormat="1" customHeight="1" ht="11.549999999999999">
      <c r="A113" s="991"/>
      <c r="B113" s="1640"/>
      <c r="C113" s="1640"/>
      <c r="D113" s="355"/>
      <c r="J113" s="1645"/>
      <c r="K113" s="1645"/>
      <c r="L113" s="1645"/>
      <c r="M113" s="1645"/>
      <c r="N113" s="1645"/>
      <c r="O113" s="1645"/>
      <c r="Q113" s="1164"/>
      <c r="R113" s="1640"/>
      <c r="S113" s="1640"/>
      <c r="T113" s="1164"/>
      <c r="U113" s="1164"/>
      <c r="V113" s="1164"/>
      <c r="W113" s="1164"/>
      <c r="X113" s="1640"/>
      <c r="Y113" s="1164"/>
      <c r="Z113" s="1164"/>
      <c r="AA113" s="548"/>
      <c r="AB113" s="1164"/>
      <c r="AC113" s="1164"/>
      <c r="AD113" s="1164"/>
      <c r="AE113" s="1164"/>
      <c r="AF113" s="1164"/>
      <c r="AG113" s="1636"/>
      <c r="AH113" s="570"/>
      <c r="AI113" s="570"/>
      <c r="AJ113" s="570"/>
      <c r="AK113" s="570"/>
      <c r="AL113" s="1645">
        <v>11</v>
      </c>
    </row>
    <row s="1645" customFormat="1" customHeight="1" ht="11.549999999999999">
      <c r="A114" s="991"/>
      <c r="B114" s="1640"/>
      <c r="C114" s="1640"/>
      <c r="D114" s="355"/>
      <c r="J114" s="1645"/>
      <c r="K114" s="1645"/>
      <c r="L114" s="1645"/>
      <c r="M114" s="1645"/>
      <c r="N114" s="1645"/>
      <c r="O114" s="1645"/>
      <c r="Q114" s="1164"/>
      <c r="R114" s="1640"/>
      <c r="S114" s="1640"/>
      <c r="T114" s="1164"/>
      <c r="U114" s="1164"/>
      <c r="V114" s="1164"/>
      <c r="W114" s="1164"/>
      <c r="X114" s="1640"/>
      <c r="Y114" s="1164"/>
      <c r="Z114" s="1164"/>
      <c r="AA114" s="548"/>
      <c r="AB114" s="1164"/>
      <c r="AC114" s="1164"/>
      <c r="AD114" s="1164"/>
      <c r="AE114" s="1164"/>
      <c r="AF114" s="1164"/>
      <c r="AG114" s="1636"/>
      <c r="AH114" s="570"/>
      <c r="AI114" s="570"/>
      <c r="AJ114" s="570"/>
      <c r="AK114" s="570"/>
      <c r="AL114" s="1645">
        <v>11</v>
      </c>
    </row>
    <row s="1645" customFormat="1" customHeight="1" ht="11.549999999999999">
      <c r="A115" s="991"/>
      <c r="B115" s="1640"/>
      <c r="C115" s="1640"/>
      <c r="D115" s="355"/>
      <c r="J115" s="1645"/>
      <c r="K115" s="1645"/>
      <c r="L115" s="1645"/>
      <c r="M115" s="1645"/>
      <c r="N115" s="1645"/>
      <c r="O115" s="1645"/>
      <c r="Q115" s="1164"/>
      <c r="R115" s="1640"/>
      <c r="S115" s="1640"/>
      <c r="T115" s="1164"/>
      <c r="U115" s="1164"/>
      <c r="V115" s="1164"/>
      <c r="W115" s="1164"/>
      <c r="X115" s="1640"/>
      <c r="Y115" s="1164"/>
      <c r="Z115" s="1164"/>
      <c r="AA115" s="548"/>
      <c r="AB115" s="1164"/>
      <c r="AC115" s="1164"/>
      <c r="AD115" s="1164"/>
      <c r="AE115" s="1164"/>
      <c r="AF115" s="1164"/>
      <c r="AG115" s="1636"/>
      <c r="AH115" s="570"/>
      <c r="AI115" s="570"/>
      <c r="AJ115" s="570"/>
      <c r="AK115" s="570"/>
      <c r="AL115" s="1645">
        <v>11</v>
      </c>
    </row>
    <row s="1645" customFormat="1" customHeight="1" ht="11.549999999999999">
      <c r="A116" s="991"/>
      <c r="B116" s="1640"/>
      <c r="C116" s="1640"/>
      <c r="D116" s="355"/>
      <c r="J116" s="1645"/>
      <c r="K116" s="1645"/>
      <c r="L116" s="1645"/>
      <c r="M116" s="1645"/>
      <c r="N116" s="1645"/>
      <c r="O116" s="1645"/>
      <c r="Q116" s="1164"/>
      <c r="R116" s="1640"/>
      <c r="S116" s="1640"/>
      <c r="T116" s="1164"/>
      <c r="U116" s="1164"/>
      <c r="V116" s="1164"/>
      <c r="W116" s="1164"/>
      <c r="X116" s="1640"/>
      <c r="Y116" s="1164"/>
      <c r="Z116" s="1164"/>
      <c r="AA116" s="548"/>
      <c r="AB116" s="1164"/>
      <c r="AC116" s="1164"/>
      <c r="AD116" s="1164"/>
      <c r="AE116" s="1164"/>
      <c r="AF116" s="1164"/>
      <c r="AG116" s="1636"/>
      <c r="AH116" s="570"/>
      <c r="AI116" s="570"/>
      <c r="AJ116" s="570"/>
      <c r="AK116" s="570"/>
      <c r="AL116" s="1645">
        <v>11</v>
      </c>
    </row>
    <row s="1645" customFormat="1" customHeight="1" ht="11.549999999999999">
      <c r="A117" s="991"/>
      <c r="B117" s="1640"/>
      <c r="C117" s="1640"/>
      <c r="D117" s="355"/>
      <c r="J117" s="1645"/>
      <c r="K117" s="1645"/>
      <c r="L117" s="1645"/>
      <c r="M117" s="1645"/>
      <c r="N117" s="1645"/>
      <c r="O117" s="1645"/>
      <c r="Q117" s="1164"/>
      <c r="R117" s="1640"/>
      <c r="S117" s="1640"/>
      <c r="T117" s="1164"/>
      <c r="U117" s="1164"/>
      <c r="V117" s="1164"/>
      <c r="W117" s="1164"/>
      <c r="X117" s="1640"/>
      <c r="Y117" s="1164"/>
      <c r="Z117" s="1164"/>
      <c r="AA117" s="548"/>
      <c r="AB117" s="1164"/>
      <c r="AC117" s="1164"/>
      <c r="AD117" s="1164"/>
      <c r="AE117" s="1164"/>
      <c r="AF117" s="1164"/>
      <c r="AG117" s="1636"/>
      <c r="AH117" s="570"/>
      <c r="AI117" s="570"/>
      <c r="AJ117" s="570"/>
      <c r="AK117" s="570"/>
      <c r="AL117" s="1645">
        <v>11</v>
      </c>
    </row>
    <row s="1645" customFormat="1" customHeight="1" ht="11.549999999999999">
      <c r="A118" s="991"/>
      <c r="B118" s="1640"/>
      <c r="C118" s="1640"/>
      <c r="D118" s="355"/>
      <c r="J118" s="1645"/>
      <c r="K118" s="1645"/>
      <c r="L118" s="1645"/>
      <c r="M118" s="1645"/>
      <c r="N118" s="1645"/>
      <c r="O118" s="1645"/>
      <c r="Q118" s="1164"/>
      <c r="R118" s="1640"/>
      <c r="S118" s="1640"/>
      <c r="T118" s="1164"/>
      <c r="U118" s="1164"/>
      <c r="V118" s="1164"/>
      <c r="W118" s="1164"/>
      <c r="X118" s="1640"/>
      <c r="Y118" s="1164"/>
      <c r="Z118" s="1164"/>
      <c r="AA118" s="548"/>
      <c r="AB118" s="1164"/>
      <c r="AC118" s="1164"/>
      <c r="AD118" s="1164"/>
      <c r="AE118" s="1164"/>
      <c r="AF118" s="1164"/>
      <c r="AG118" s="1636"/>
      <c r="AH118" s="570"/>
      <c r="AI118" s="570"/>
      <c r="AJ118" s="570"/>
      <c r="AK118" s="570"/>
      <c r="AL118" s="1645">
        <v>11</v>
      </c>
    </row>
    <row s="1645" customFormat="1" customHeight="1" ht="11.549999999999999">
      <c r="A119" s="991"/>
      <c r="B119" s="1640"/>
      <c r="C119" s="1640"/>
      <c r="D119" s="355"/>
      <c r="J119" s="1645"/>
      <c r="K119" s="1645"/>
      <c r="L119" s="1645"/>
      <c r="M119" s="1645"/>
      <c r="N119" s="1645"/>
      <c r="O119" s="1645"/>
      <c r="Q119" s="1164"/>
      <c r="R119" s="1640"/>
      <c r="S119" s="1640"/>
      <c r="T119" s="1164"/>
      <c r="U119" s="1164"/>
      <c r="V119" s="1164"/>
      <c r="W119" s="1164"/>
      <c r="X119" s="1640"/>
      <c r="Y119" s="1164"/>
      <c r="Z119" s="1164"/>
      <c r="AA119" s="548"/>
      <c r="AB119" s="1164"/>
      <c r="AC119" s="1164"/>
      <c r="AD119" s="1164"/>
      <c r="AE119" s="1164"/>
      <c r="AF119" s="1164"/>
      <c r="AG119" s="1636"/>
      <c r="AH119" s="570"/>
      <c r="AI119" s="570"/>
      <c r="AJ119" s="570"/>
      <c r="AK119" s="570"/>
      <c r="AL119" s="1645">
        <v>11</v>
      </c>
    </row>
    <row s="1645" customFormat="1" customHeight="1" ht="11.549999999999999">
      <c r="A120" s="991"/>
      <c r="B120" s="1640"/>
      <c r="C120" s="1640"/>
      <c r="D120" s="355"/>
      <c r="J120" s="1645"/>
      <c r="K120" s="1645"/>
      <c r="L120" s="1645"/>
      <c r="M120" s="1645"/>
      <c r="N120" s="1645"/>
      <c r="O120" s="1645"/>
      <c r="Q120" s="1164"/>
      <c r="R120" s="1640"/>
      <c r="S120" s="1640"/>
      <c r="T120" s="1164"/>
      <c r="U120" s="1164"/>
      <c r="V120" s="1164"/>
      <c r="W120" s="1164"/>
      <c r="X120" s="1640"/>
      <c r="Y120" s="1164"/>
      <c r="Z120" s="1164"/>
      <c r="AA120" s="548"/>
      <c r="AB120" s="1164"/>
      <c r="AC120" s="1164"/>
      <c r="AD120" s="1164"/>
      <c r="AE120" s="1164"/>
      <c r="AF120" s="1164"/>
      <c r="AG120" s="1636"/>
      <c r="AH120" s="570"/>
      <c r="AI120" s="570"/>
      <c r="AJ120" s="570"/>
      <c r="AK120" s="570"/>
      <c r="AL120" s="1645">
        <v>11</v>
      </c>
    </row>
    <row s="1645" customFormat="1" customHeight="1" ht="11.549999999999999">
      <c r="A121" s="991"/>
      <c r="B121" s="1640"/>
      <c r="C121" s="1640"/>
      <c r="D121" s="355"/>
      <c r="J121" s="1645"/>
      <c r="K121" s="1645"/>
      <c r="L121" s="1645"/>
      <c r="M121" s="1645"/>
      <c r="N121" s="1645"/>
      <c r="O121" s="1645"/>
      <c r="Q121" s="1164"/>
      <c r="R121" s="1640"/>
      <c r="S121" s="1640"/>
      <c r="T121" s="1164"/>
      <c r="U121" s="1164"/>
      <c r="V121" s="1164"/>
      <c r="W121" s="1164"/>
      <c r="X121" s="1640"/>
      <c r="Y121" s="1164"/>
      <c r="Z121" s="1164"/>
      <c r="AA121" s="548"/>
      <c r="AB121" s="1164"/>
      <c r="AC121" s="1164"/>
      <c r="AD121" s="1164"/>
      <c r="AE121" s="1164"/>
      <c r="AF121" s="1164"/>
      <c r="AG121" s="1636"/>
      <c r="AH121" s="570"/>
      <c r="AI121" s="570"/>
      <c r="AJ121" s="570"/>
      <c r="AK121" s="570"/>
      <c r="AL121" s="1645">
        <v>11</v>
      </c>
    </row>
    <row s="1645" customFormat="1" customHeight="1" ht="11.549999999999999">
      <c r="A122" s="991"/>
      <c r="B122" s="1640"/>
      <c r="C122" s="1640"/>
      <c r="D122" s="355"/>
      <c r="J122" s="1645"/>
      <c r="K122" s="1645"/>
      <c r="L122" s="1645"/>
      <c r="M122" s="1645"/>
      <c r="N122" s="1645"/>
      <c r="O122" s="1645"/>
      <c r="Q122" s="1164"/>
      <c r="R122" s="1640"/>
      <c r="S122" s="1640"/>
      <c r="T122" s="1164"/>
      <c r="U122" s="1164"/>
      <c r="V122" s="1164"/>
      <c r="W122" s="1164"/>
      <c r="X122" s="1640"/>
      <c r="Y122" s="1164"/>
      <c r="Z122" s="1164"/>
      <c r="AA122" s="548"/>
      <c r="AB122" s="1164"/>
      <c r="AC122" s="1164"/>
      <c r="AD122" s="1164"/>
      <c r="AE122" s="1164"/>
      <c r="AF122" s="1164"/>
      <c r="AG122" s="1636"/>
      <c r="AH122" s="570"/>
      <c r="AI122" s="570"/>
      <c r="AJ122" s="570"/>
      <c r="AK122" s="570"/>
      <c r="AL122" s="1645">
        <v>11</v>
      </c>
    </row>
    <row s="1645" customFormat="1" customHeight="1" ht="11.549999999999999">
      <c r="A123" s="991"/>
      <c r="B123" s="1640"/>
      <c r="C123" s="1640"/>
      <c r="D123" s="355"/>
      <c r="J123" s="1645"/>
      <c r="K123" s="1645"/>
      <c r="L123" s="1645"/>
      <c r="M123" s="1645"/>
      <c r="N123" s="1645"/>
      <c r="O123" s="1645"/>
      <c r="Q123" s="1164"/>
      <c r="R123" s="1640"/>
      <c r="S123" s="1640"/>
      <c r="T123" s="1164"/>
      <c r="U123" s="1164"/>
      <c r="V123" s="1164"/>
      <c r="W123" s="1164"/>
      <c r="X123" s="1640"/>
      <c r="Y123" s="1164"/>
      <c r="Z123" s="1164"/>
      <c r="AA123" s="548"/>
      <c r="AB123" s="1164"/>
      <c r="AC123" s="1164"/>
      <c r="AD123" s="1164"/>
      <c r="AE123" s="1164"/>
      <c r="AF123" s="1164"/>
      <c r="AG123" s="1636"/>
      <c r="AH123" s="570"/>
      <c r="AI123" s="570"/>
      <c r="AJ123" s="570"/>
      <c r="AK123" s="570"/>
      <c r="AL123" s="1645">
        <v>11</v>
      </c>
    </row>
    <row s="1645" customFormat="1" customHeight="1" ht="11.549999999999999">
      <c r="A124" s="991"/>
      <c r="B124" s="1640"/>
      <c r="C124" s="1640"/>
      <c r="D124" s="355"/>
      <c r="J124" s="1645"/>
      <c r="K124" s="1645"/>
      <c r="L124" s="1645"/>
      <c r="M124" s="1645"/>
      <c r="N124" s="1645"/>
      <c r="O124" s="1645"/>
      <c r="Q124" s="1164"/>
      <c r="R124" s="1640"/>
      <c r="S124" s="1640"/>
      <c r="T124" s="1164"/>
      <c r="U124" s="1164"/>
      <c r="V124" s="1164"/>
      <c r="W124" s="1164"/>
      <c r="X124" s="1640"/>
      <c r="Y124" s="1164"/>
      <c r="Z124" s="1164"/>
      <c r="AA124" s="548"/>
      <c r="AB124" s="1164"/>
      <c r="AC124" s="1164"/>
      <c r="AD124" s="1164"/>
      <c r="AE124" s="1164"/>
      <c r="AF124" s="1164"/>
      <c r="AG124" s="1636"/>
      <c r="AH124" s="570"/>
      <c r="AI124" s="570"/>
      <c r="AJ124" s="570"/>
      <c r="AK124" s="570"/>
      <c r="AL124" s="1645">
        <v>11</v>
      </c>
    </row>
    <row s="1645" customFormat="1" customHeight="1" ht="11.549999999999999">
      <c r="A125" s="991"/>
      <c r="B125" s="1640"/>
      <c r="C125" s="1640"/>
      <c r="D125" s="355"/>
      <c r="J125" s="1645"/>
      <c r="K125" s="1645"/>
      <c r="L125" s="1645"/>
      <c r="M125" s="1645"/>
      <c r="N125" s="1645"/>
      <c r="O125" s="1645"/>
      <c r="Q125" s="1164"/>
      <c r="R125" s="1640"/>
      <c r="S125" s="1640"/>
      <c r="T125" s="1164"/>
      <c r="U125" s="1164"/>
      <c r="V125" s="1164"/>
      <c r="W125" s="1164"/>
      <c r="X125" s="1640"/>
      <c r="Y125" s="1164"/>
      <c r="Z125" s="1164"/>
      <c r="AA125" s="548"/>
      <c r="AB125" s="1164"/>
      <c r="AC125" s="1164"/>
      <c r="AD125" s="1164"/>
      <c r="AE125" s="1164"/>
      <c r="AF125" s="1164"/>
      <c r="AG125" s="1636"/>
      <c r="AH125" s="570"/>
      <c r="AI125" s="570"/>
      <c r="AJ125" s="570"/>
      <c r="AK125" s="570"/>
      <c r="AL125" s="1645">
        <v>11</v>
      </c>
    </row>
    <row s="1645" customFormat="1" customHeight="1" ht="11.549999999999999">
      <c r="A126" s="991"/>
      <c r="B126" s="1640"/>
      <c r="C126" s="1640"/>
      <c r="D126" s="355"/>
      <c r="J126" s="1645"/>
      <c r="K126" s="1645"/>
      <c r="L126" s="1645"/>
      <c r="M126" s="1645"/>
      <c r="N126" s="1645"/>
      <c r="O126" s="1645"/>
      <c r="Q126" s="1164"/>
      <c r="R126" s="1640"/>
      <c r="S126" s="1640"/>
      <c r="T126" s="1164"/>
      <c r="U126" s="1164"/>
      <c r="V126" s="1164"/>
      <c r="W126" s="1164"/>
      <c r="X126" s="1640"/>
      <c r="Y126" s="1164"/>
      <c r="Z126" s="1164"/>
      <c r="AA126" s="548"/>
      <c r="AB126" s="1164"/>
      <c r="AC126" s="1164"/>
      <c r="AD126" s="1164"/>
      <c r="AE126" s="1164"/>
      <c r="AF126" s="1164"/>
      <c r="AG126" s="1636"/>
      <c r="AH126" s="570"/>
      <c r="AI126" s="570"/>
      <c r="AJ126" s="570"/>
      <c r="AK126" s="570"/>
      <c r="AL126" s="1645">
        <v>11</v>
      </c>
    </row>
    <row s="1645" customFormat="1" customHeight="1" ht="11.549999999999999">
      <c r="A127" s="991"/>
      <c r="B127" s="1640"/>
      <c r="C127" s="1640"/>
      <c r="D127" s="355"/>
      <c r="J127" s="1645"/>
      <c r="K127" s="1645"/>
      <c r="L127" s="1645"/>
      <c r="M127" s="1645"/>
      <c r="N127" s="1645"/>
      <c r="O127" s="1645"/>
      <c r="Q127" s="1164"/>
      <c r="R127" s="1640"/>
      <c r="S127" s="1640"/>
      <c r="T127" s="1164"/>
      <c r="U127" s="1164"/>
      <c r="V127" s="1164"/>
      <c r="W127" s="1164"/>
      <c r="X127" s="1640"/>
      <c r="Y127" s="1164"/>
      <c r="Z127" s="1164"/>
      <c r="AA127" s="548"/>
      <c r="AB127" s="1164"/>
      <c r="AC127" s="1164"/>
      <c r="AD127" s="1164"/>
      <c r="AE127" s="1164"/>
      <c r="AF127" s="1164"/>
      <c r="AG127" s="1636"/>
      <c r="AH127" s="570"/>
      <c r="AI127" s="570"/>
      <c r="AJ127" s="570"/>
      <c r="AK127" s="570"/>
      <c r="AL127" s="1645">
        <v>11</v>
      </c>
    </row>
    <row s="1645" customFormat="1" customHeight="1" ht="11.549999999999999">
      <c r="A128" s="991"/>
      <c r="B128" s="1640"/>
      <c r="C128" s="1640"/>
      <c r="D128" s="355"/>
      <c r="J128" s="1645"/>
      <c r="K128" s="1645"/>
      <c r="L128" s="1645"/>
      <c r="M128" s="1645"/>
      <c r="N128" s="1645"/>
      <c r="O128" s="1645"/>
      <c r="Q128" s="1164"/>
      <c r="R128" s="1640"/>
      <c r="S128" s="1640"/>
      <c r="T128" s="1164"/>
      <c r="U128" s="1164"/>
      <c r="V128" s="1164"/>
      <c r="W128" s="1164"/>
      <c r="X128" s="1640"/>
      <c r="Y128" s="1164"/>
      <c r="Z128" s="1164"/>
      <c r="AA128" s="548"/>
      <c r="AB128" s="1164"/>
      <c r="AC128" s="1164"/>
      <c r="AD128" s="1164"/>
      <c r="AE128" s="1164"/>
      <c r="AF128" s="1164"/>
      <c r="AG128" s="1636"/>
      <c r="AH128" s="570"/>
      <c r="AI128" s="570"/>
      <c r="AJ128" s="570"/>
      <c r="AK128" s="570"/>
      <c r="AL128" s="1645">
        <v>11</v>
      </c>
    </row>
    <row s="1645" customFormat="1" customHeight="1" ht="11.549999999999999">
      <c r="A129" s="991"/>
      <c r="B129" s="1640"/>
      <c r="C129" s="1640"/>
      <c r="D129" s="355"/>
      <c r="J129" s="1645"/>
      <c r="K129" s="1645"/>
      <c r="L129" s="1645"/>
      <c r="M129" s="1645"/>
      <c r="N129" s="1645"/>
      <c r="O129" s="1645"/>
      <c r="Q129" s="1164"/>
      <c r="R129" s="1640"/>
      <c r="S129" s="1640"/>
      <c r="T129" s="1164"/>
      <c r="U129" s="1164"/>
      <c r="V129" s="1164"/>
      <c r="W129" s="1164"/>
      <c r="X129" s="1640"/>
      <c r="Y129" s="1164"/>
      <c r="Z129" s="1164"/>
      <c r="AA129" s="548"/>
      <c r="AB129" s="1164"/>
      <c r="AC129" s="1164"/>
      <c r="AD129" s="1164"/>
      <c r="AE129" s="1164"/>
      <c r="AF129" s="1164"/>
      <c r="AG129" s="1636"/>
      <c r="AH129" s="570"/>
      <c r="AI129" s="570"/>
      <c r="AJ129" s="570"/>
      <c r="AK129" s="570"/>
      <c r="AL129" s="1645">
        <v>11</v>
      </c>
    </row>
    <row s="1645" customFormat="1" customHeight="1" ht="11.549999999999999">
      <c r="A130" s="991"/>
      <c r="B130" s="1640"/>
      <c r="C130" s="1640"/>
      <c r="D130" s="355"/>
      <c r="J130" s="1645"/>
      <c r="K130" s="1645"/>
      <c r="L130" s="1645"/>
      <c r="M130" s="1645"/>
      <c r="N130" s="1645"/>
      <c r="O130" s="1645"/>
      <c r="Q130" s="1164"/>
      <c r="R130" s="1640"/>
      <c r="S130" s="1640"/>
      <c r="T130" s="1164"/>
      <c r="U130" s="1164"/>
      <c r="V130" s="1164"/>
      <c r="W130" s="1164"/>
      <c r="X130" s="1640"/>
      <c r="Y130" s="1164"/>
      <c r="Z130" s="1164"/>
      <c r="AA130" s="548"/>
      <c r="AB130" s="1164"/>
      <c r="AC130" s="1164"/>
      <c r="AD130" s="1164"/>
      <c r="AE130" s="1164"/>
      <c r="AF130" s="1164"/>
      <c r="AG130" s="1636"/>
      <c r="AH130" s="570"/>
      <c r="AI130" s="570"/>
      <c r="AJ130" s="570"/>
      <c r="AK130" s="570"/>
      <c r="AL130" s="1645">
        <v>11</v>
      </c>
    </row>
    <row s="1645" customFormat="1" customHeight="1" ht="11.549999999999999">
      <c r="A131" s="991"/>
      <c r="B131" s="1640"/>
      <c r="C131" s="1640"/>
      <c r="D131" s="355"/>
      <c r="J131" s="1645"/>
      <c r="K131" s="1645"/>
      <c r="L131" s="1645"/>
      <c r="M131" s="1645"/>
      <c r="N131" s="1645"/>
      <c r="O131" s="1645"/>
      <c r="Q131" s="1164"/>
      <c r="R131" s="1640"/>
      <c r="S131" s="1640"/>
      <c r="T131" s="1164"/>
      <c r="U131" s="1164"/>
      <c r="V131" s="1164"/>
      <c r="W131" s="1164"/>
      <c r="X131" s="1640"/>
      <c r="Y131" s="1164"/>
      <c r="Z131" s="1164"/>
      <c r="AA131" s="548"/>
      <c r="AB131" s="1164"/>
      <c r="AC131" s="1164"/>
      <c r="AD131" s="1164"/>
      <c r="AE131" s="1164"/>
      <c r="AF131" s="1164"/>
      <c r="AG131" s="1636"/>
      <c r="AH131" s="570"/>
      <c r="AI131" s="570"/>
      <c r="AJ131" s="570"/>
      <c r="AK131" s="570"/>
      <c r="AL131" s="1645">
        <v>11</v>
      </c>
    </row>
    <row s="1645" customFormat="1" customHeight="1" ht="11.549999999999999">
      <c r="A132" s="991"/>
      <c r="B132" s="1640"/>
      <c r="C132" s="1640"/>
      <c r="D132" s="355"/>
      <c r="J132" s="1645"/>
      <c r="K132" s="1645"/>
      <c r="L132" s="1645"/>
      <c r="M132" s="1645"/>
      <c r="N132" s="1645"/>
      <c r="O132" s="1645"/>
      <c r="Q132" s="1164"/>
      <c r="R132" s="1640"/>
      <c r="S132" s="1640"/>
      <c r="T132" s="1164"/>
      <c r="U132" s="1164"/>
      <c r="V132" s="1164"/>
      <c r="W132" s="1164"/>
      <c r="X132" s="1640"/>
      <c r="Y132" s="1164"/>
      <c r="Z132" s="1164"/>
      <c r="AA132" s="548"/>
      <c r="AB132" s="1164"/>
      <c r="AC132" s="1164"/>
      <c r="AD132" s="1164"/>
      <c r="AE132" s="1164"/>
      <c r="AF132" s="1164"/>
      <c r="AG132" s="1636"/>
      <c r="AH132" s="570"/>
      <c r="AI132" s="570"/>
      <c r="AJ132" s="570"/>
      <c r="AK132" s="570"/>
      <c r="AL132" s="1645">
        <v>11</v>
      </c>
    </row>
    <row s="1645" customFormat="1" customHeight="1" ht="11.549999999999999">
      <c r="A133" s="991"/>
      <c r="B133" s="1640"/>
      <c r="C133" s="1640"/>
      <c r="D133" s="355"/>
      <c r="J133" s="1645"/>
      <c r="K133" s="1645"/>
      <c r="L133" s="1645"/>
      <c r="M133" s="1645"/>
      <c r="N133" s="1645"/>
      <c r="O133" s="1645"/>
      <c r="Q133" s="1164"/>
      <c r="R133" s="1640"/>
      <c r="S133" s="1640"/>
      <c r="T133" s="1164"/>
      <c r="U133" s="1164"/>
      <c r="V133" s="1164"/>
      <c r="W133" s="1164"/>
      <c r="X133" s="1640"/>
      <c r="Y133" s="1164"/>
      <c r="Z133" s="1164"/>
      <c r="AA133" s="548"/>
      <c r="AB133" s="1164"/>
      <c r="AC133" s="1164"/>
      <c r="AD133" s="1164"/>
      <c r="AE133" s="1164"/>
      <c r="AF133" s="1164"/>
      <c r="AG133" s="1636"/>
      <c r="AH133" s="570"/>
      <c r="AI133" s="570"/>
      <c r="AJ133" s="570"/>
      <c r="AK133" s="570"/>
      <c r="AL133" s="1645">
        <v>11</v>
      </c>
    </row>
    <row s="1645" customFormat="1" customHeight="1" ht="11.549999999999999">
      <c r="A134" s="991"/>
      <c r="B134" s="1640"/>
      <c r="C134" s="1640"/>
      <c r="D134" s="355"/>
      <c r="J134" s="1645"/>
      <c r="K134" s="1645"/>
      <c r="L134" s="1645"/>
      <c r="M134" s="1645"/>
      <c r="N134" s="1645"/>
      <c r="O134" s="1645"/>
      <c r="Q134" s="1164"/>
      <c r="R134" s="1640"/>
      <c r="S134" s="1640"/>
      <c r="T134" s="1164"/>
      <c r="U134" s="1164"/>
      <c r="V134" s="1164"/>
      <c r="W134" s="1164"/>
      <c r="X134" s="1640"/>
      <c r="Y134" s="1164"/>
      <c r="Z134" s="1164"/>
      <c r="AA134" s="548"/>
      <c r="AB134" s="1164"/>
      <c r="AC134" s="1164"/>
      <c r="AD134" s="1164"/>
      <c r="AE134" s="1164"/>
      <c r="AF134" s="1164"/>
      <c r="AG134" s="1636"/>
      <c r="AH134" s="570"/>
      <c r="AI134" s="570"/>
      <c r="AJ134" s="570"/>
      <c r="AK134" s="570"/>
      <c r="AL134" s="1645">
        <v>11</v>
      </c>
    </row>
    <row s="1645" customFormat="1" customHeight="1" ht="11.549999999999999">
      <c r="A135" s="991"/>
      <c r="B135" s="1640"/>
      <c r="C135" s="1640"/>
      <c r="D135" s="355"/>
      <c r="J135" s="1645"/>
      <c r="K135" s="1645"/>
      <c r="L135" s="1645"/>
      <c r="M135" s="1645"/>
      <c r="N135" s="1645"/>
      <c r="O135" s="1645"/>
      <c r="Q135" s="1164"/>
      <c r="R135" s="1640"/>
      <c r="S135" s="1640"/>
      <c r="T135" s="1164"/>
      <c r="U135" s="1164"/>
      <c r="V135" s="1164"/>
      <c r="W135" s="1164"/>
      <c r="X135" s="1640"/>
      <c r="Y135" s="1164"/>
      <c r="Z135" s="1164"/>
      <c r="AA135" s="548"/>
      <c r="AB135" s="1164"/>
      <c r="AC135" s="1164"/>
      <c r="AD135" s="1164"/>
      <c r="AE135" s="1164"/>
      <c r="AF135" s="1164"/>
      <c r="AG135" s="1636"/>
      <c r="AH135" s="570"/>
      <c r="AI135" s="570"/>
      <c r="AJ135" s="570"/>
      <c r="AK135" s="570"/>
      <c r="AL135" s="1645">
        <v>11</v>
      </c>
    </row>
    <row s="1645" customFormat="1" customHeight="1" ht="11.549999999999999">
      <c r="A136" s="991"/>
      <c r="B136" s="1640"/>
      <c r="C136" s="1640"/>
      <c r="D136" s="355"/>
      <c r="J136" s="1645"/>
      <c r="K136" s="1645"/>
      <c r="L136" s="1645"/>
      <c r="M136" s="1645"/>
      <c r="N136" s="1645"/>
      <c r="O136" s="1645"/>
      <c r="Q136" s="1164"/>
      <c r="R136" s="1640"/>
      <c r="S136" s="1640"/>
      <c r="T136" s="1164"/>
      <c r="U136" s="1164"/>
      <c r="V136" s="1164"/>
      <c r="W136" s="1164"/>
      <c r="X136" s="1640"/>
      <c r="Y136" s="1164"/>
      <c r="Z136" s="1164"/>
      <c r="AA136" s="548"/>
      <c r="AB136" s="1164"/>
      <c r="AC136" s="1164"/>
      <c r="AD136" s="1164"/>
      <c r="AE136" s="1164"/>
      <c r="AF136" s="1164"/>
      <c r="AG136" s="1636"/>
      <c r="AH136" s="570"/>
      <c r="AI136" s="570"/>
      <c r="AJ136" s="570"/>
      <c r="AK136" s="570"/>
      <c r="AL136" s="1645">
        <v>11</v>
      </c>
    </row>
    <row s="1645" customFormat="1" customHeight="1" ht="11.549999999999999">
      <c r="A137" s="991"/>
      <c r="B137" s="1640"/>
      <c r="C137" s="1640"/>
      <c r="D137" s="355"/>
      <c r="J137" s="1645"/>
      <c r="K137" s="1645"/>
      <c r="L137" s="1645"/>
      <c r="M137" s="1645"/>
      <c r="N137" s="1645"/>
      <c r="O137" s="1645"/>
      <c r="Q137" s="1164"/>
      <c r="R137" s="1640"/>
      <c r="S137" s="1640"/>
      <c r="T137" s="1164"/>
      <c r="U137" s="1164"/>
      <c r="V137" s="1164"/>
      <c r="W137" s="1164"/>
      <c r="X137" s="1640"/>
      <c r="Y137" s="1164"/>
      <c r="Z137" s="1164"/>
      <c r="AA137" s="548"/>
      <c r="AB137" s="1164"/>
      <c r="AC137" s="1164"/>
      <c r="AD137" s="1164"/>
      <c r="AE137" s="1164"/>
      <c r="AF137" s="1164"/>
      <c r="AG137" s="1636"/>
      <c r="AH137" s="570"/>
      <c r="AI137" s="570"/>
      <c r="AJ137" s="570"/>
      <c r="AK137" s="570"/>
      <c r="AL137" s="1645">
        <v>11</v>
      </c>
    </row>
    <row s="1645" customFormat="1" customHeight="1" ht="11.549999999999999">
      <c r="A138" s="991"/>
      <c r="B138" s="1640"/>
      <c r="C138" s="1640"/>
      <c r="D138" s="355"/>
      <c r="J138" s="1645"/>
      <c r="K138" s="1645"/>
      <c r="L138" s="1645"/>
      <c r="M138" s="1645"/>
      <c r="N138" s="1645"/>
      <c r="O138" s="1645"/>
      <c r="Q138" s="1164"/>
      <c r="R138" s="1640"/>
      <c r="S138" s="1640"/>
      <c r="T138" s="1164"/>
      <c r="U138" s="1164"/>
      <c r="V138" s="1164"/>
      <c r="W138" s="1164"/>
      <c r="X138" s="1640"/>
      <c r="Y138" s="1164"/>
      <c r="Z138" s="1164"/>
      <c r="AA138" s="548"/>
      <c r="AB138" s="1164"/>
      <c r="AC138" s="1164"/>
      <c r="AD138" s="1164"/>
      <c r="AE138" s="1164"/>
      <c r="AF138" s="1164"/>
      <c r="AG138" s="1636"/>
      <c r="AH138" s="570"/>
      <c r="AI138" s="570"/>
      <c r="AJ138" s="570"/>
      <c r="AK138" s="570"/>
      <c r="AL138" s="1645">
        <v>11</v>
      </c>
    </row>
    <row s="1645" customFormat="1" customHeight="1" ht="11.549999999999999">
      <c r="A139" s="991"/>
      <c r="B139" s="1640"/>
      <c r="C139" s="1640"/>
      <c r="D139" s="355"/>
      <c r="J139" s="1645"/>
      <c r="K139" s="1645"/>
      <c r="L139" s="1645"/>
      <c r="M139" s="1645"/>
      <c r="N139" s="1645"/>
      <c r="O139" s="1645"/>
      <c r="Q139" s="1164"/>
      <c r="R139" s="1640"/>
      <c r="S139" s="1640"/>
      <c r="T139" s="1164"/>
      <c r="U139" s="1164"/>
      <c r="V139" s="1164"/>
      <c r="W139" s="1164"/>
      <c r="X139" s="1640"/>
      <c r="Y139" s="1164"/>
      <c r="Z139" s="1164"/>
      <c r="AA139" s="548"/>
      <c r="AB139" s="1164"/>
      <c r="AC139" s="1164"/>
      <c r="AD139" s="1164"/>
      <c r="AE139" s="1164"/>
      <c r="AF139" s="1164"/>
      <c r="AG139" s="1636"/>
      <c r="AH139" s="570"/>
      <c r="AI139" s="570"/>
      <c r="AJ139" s="570"/>
      <c r="AK139" s="570"/>
      <c r="AL139" s="1645">
        <v>11</v>
      </c>
    </row>
    <row s="1645" customFormat="1" customHeight="1" ht="11.549999999999999">
      <c r="A140" s="991"/>
      <c r="B140" s="1640"/>
      <c r="C140" s="1640"/>
      <c r="D140" s="355"/>
      <c r="J140" s="1645"/>
      <c r="K140" s="1645"/>
      <c r="L140" s="1645"/>
      <c r="M140" s="1645"/>
      <c r="N140" s="1645"/>
      <c r="O140" s="1645"/>
      <c r="Q140" s="1164"/>
      <c r="R140" s="1640"/>
      <c r="S140" s="1640"/>
      <c r="T140" s="1164"/>
      <c r="U140" s="1164"/>
      <c r="V140" s="1164"/>
      <c r="W140" s="1164"/>
      <c r="X140" s="1640"/>
      <c r="Y140" s="1164"/>
      <c r="Z140" s="1164"/>
      <c r="AA140" s="548"/>
      <c r="AB140" s="1164"/>
      <c r="AC140" s="1164"/>
      <c r="AD140" s="1164"/>
      <c r="AE140" s="1164"/>
      <c r="AF140" s="1164"/>
      <c r="AG140" s="1636"/>
      <c r="AH140" s="570"/>
      <c r="AI140" s="570"/>
      <c r="AJ140" s="570"/>
      <c r="AK140" s="570"/>
      <c r="AL140" s="1645">
        <v>11</v>
      </c>
    </row>
    <row s="1645" customFormat="1" customHeight="1" ht="11.549999999999999">
      <c r="A141" s="991"/>
      <c r="B141" s="1640"/>
      <c r="C141" s="1640"/>
      <c r="D141" s="355"/>
      <c r="J141" s="1645"/>
      <c r="K141" s="1645"/>
      <c r="L141" s="1645"/>
      <c r="M141" s="1645"/>
      <c r="N141" s="1645"/>
      <c r="O141" s="1645"/>
      <c r="Q141" s="1164"/>
      <c r="R141" s="1640"/>
      <c r="S141" s="1640"/>
      <c r="T141" s="1164"/>
      <c r="U141" s="1164"/>
      <c r="V141" s="1164"/>
      <c r="W141" s="1164"/>
      <c r="X141" s="1640"/>
      <c r="Y141" s="1164"/>
      <c r="Z141" s="1164"/>
      <c r="AA141" s="548"/>
      <c r="AB141" s="1164"/>
      <c r="AC141" s="1164"/>
      <c r="AD141" s="1164"/>
      <c r="AE141" s="1164"/>
      <c r="AF141" s="1164"/>
      <c r="AG141" s="1636"/>
      <c r="AH141" s="570"/>
      <c r="AI141" s="570"/>
      <c r="AJ141" s="570"/>
      <c r="AK141" s="570"/>
      <c r="AL141" s="1645">
        <v>11</v>
      </c>
    </row>
    <row s="1645" customFormat="1" customHeight="1" ht="11.549999999999999">
      <c r="A142" s="991"/>
      <c r="B142" s="1640"/>
      <c r="C142" s="1640"/>
      <c r="D142" s="355"/>
      <c r="J142" s="1645"/>
      <c r="K142" s="1645"/>
      <c r="L142" s="1645"/>
      <c r="M142" s="1645"/>
      <c r="N142" s="1645"/>
      <c r="O142" s="1645"/>
      <c r="Q142" s="1164"/>
      <c r="R142" s="1640"/>
      <c r="S142" s="1640"/>
      <c r="T142" s="1164"/>
      <c r="U142" s="1164"/>
      <c r="V142" s="1164"/>
      <c r="W142" s="1164"/>
      <c r="X142" s="1640"/>
      <c r="Y142" s="1164"/>
      <c r="Z142" s="1164"/>
      <c r="AA142" s="548"/>
      <c r="AB142" s="1164"/>
      <c r="AC142" s="1164"/>
      <c r="AD142" s="1164"/>
      <c r="AE142" s="1164"/>
      <c r="AF142" s="1164"/>
      <c r="AG142" s="1636"/>
      <c r="AH142" s="570"/>
      <c r="AI142" s="570"/>
      <c r="AJ142" s="570"/>
      <c r="AK142" s="570"/>
      <c r="AL142" s="1645">
        <v>11</v>
      </c>
    </row>
    <row s="1645" customFormat="1" customHeight="1" ht="11.549999999999999">
      <c r="A143" s="991"/>
      <c r="B143" s="1640"/>
      <c r="C143" s="1640"/>
      <c r="D143" s="355"/>
      <c r="J143" s="1645"/>
      <c r="K143" s="1645"/>
      <c r="L143" s="1645"/>
      <c r="M143" s="1645"/>
      <c r="N143" s="1645"/>
      <c r="O143" s="1645"/>
      <c r="Q143" s="1164"/>
      <c r="R143" s="1640"/>
      <c r="S143" s="1640"/>
      <c r="T143" s="1164"/>
      <c r="U143" s="1164"/>
      <c r="V143" s="1164"/>
      <c r="W143" s="1164"/>
      <c r="X143" s="1640"/>
      <c r="Y143" s="1164"/>
      <c r="Z143" s="1164"/>
      <c r="AA143" s="548"/>
      <c r="AB143" s="1164"/>
      <c r="AC143" s="1164"/>
      <c r="AD143" s="1164"/>
      <c r="AE143" s="1164"/>
      <c r="AF143" s="1164"/>
      <c r="AG143" s="1636"/>
      <c r="AH143" s="570"/>
      <c r="AI143" s="570"/>
      <c r="AJ143" s="570"/>
      <c r="AK143" s="570"/>
      <c r="AL143" s="1645">
        <v>11</v>
      </c>
    </row>
    <row s="1645" customFormat="1" customHeight="1" ht="11.549999999999999">
      <c r="A144" s="991"/>
      <c r="B144" s="1640"/>
      <c r="C144" s="1640"/>
      <c r="D144" s="355"/>
      <c r="J144" s="1645"/>
      <c r="K144" s="1645"/>
      <c r="L144" s="1645"/>
      <c r="M144" s="1645"/>
      <c r="N144" s="1645"/>
      <c r="O144" s="1645"/>
      <c r="Q144" s="1164"/>
      <c r="R144" s="1640"/>
      <c r="S144" s="1640"/>
      <c r="T144" s="1164"/>
      <c r="U144" s="1164"/>
      <c r="V144" s="1164"/>
      <c r="W144" s="1164"/>
      <c r="X144" s="1640"/>
      <c r="Y144" s="1164"/>
      <c r="Z144" s="1164"/>
      <c r="AA144" s="548"/>
      <c r="AB144" s="1164"/>
      <c r="AC144" s="1164"/>
      <c r="AD144" s="1164"/>
      <c r="AE144" s="1164"/>
      <c r="AF144" s="1164"/>
      <c r="AG144" s="1636"/>
      <c r="AH144" s="570"/>
      <c r="AI144" s="570"/>
      <c r="AJ144" s="570"/>
      <c r="AK144" s="570"/>
      <c r="AL144" s="1645">
        <v>11</v>
      </c>
    </row>
    <row s="1645" customFormat="1" customHeight="1" ht="11.549999999999999">
      <c r="A145" s="991"/>
      <c r="B145" s="1640"/>
      <c r="C145" s="1640"/>
      <c r="D145" s="355"/>
      <c r="J145" s="1645"/>
      <c r="K145" s="1645"/>
      <c r="L145" s="1645"/>
      <c r="M145" s="1645"/>
      <c r="N145" s="1645"/>
      <c r="O145" s="1645"/>
      <c r="Q145" s="1164"/>
      <c r="R145" s="1640"/>
      <c r="S145" s="1640"/>
      <c r="T145" s="1164"/>
      <c r="U145" s="1164"/>
      <c r="V145" s="1164"/>
      <c r="W145" s="1164"/>
      <c r="X145" s="1640"/>
      <c r="Y145" s="1164"/>
      <c r="Z145" s="1164"/>
      <c r="AA145" s="548"/>
      <c r="AB145" s="1164"/>
      <c r="AC145" s="1164"/>
      <c r="AD145" s="1164"/>
      <c r="AE145" s="1164"/>
      <c r="AF145" s="1164"/>
      <c r="AG145" s="1636"/>
      <c r="AH145" s="570"/>
      <c r="AI145" s="570"/>
      <c r="AJ145" s="570"/>
      <c r="AK145" s="570"/>
      <c r="AL145" s="1645">
        <v>11</v>
      </c>
    </row>
    <row s="1645" customFormat="1" customHeight="1" ht="11.549999999999999">
      <c r="A146" s="991"/>
      <c r="B146" s="1640"/>
      <c r="C146" s="1640"/>
      <c r="D146" s="355"/>
      <c r="J146" s="1645"/>
      <c r="K146" s="1645"/>
      <c r="L146" s="1645"/>
      <c r="M146" s="1645"/>
      <c r="N146" s="1645"/>
      <c r="O146" s="1645"/>
      <c r="Q146" s="1164"/>
      <c r="R146" s="1640"/>
      <c r="S146" s="1640"/>
      <c r="T146" s="1164"/>
      <c r="U146" s="1164"/>
      <c r="V146" s="1164"/>
      <c r="W146" s="1164"/>
      <c r="X146" s="1640"/>
      <c r="Y146" s="1164"/>
      <c r="Z146" s="1164"/>
      <c r="AA146" s="548"/>
      <c r="AB146" s="1164"/>
      <c r="AC146" s="1164"/>
      <c r="AD146" s="1164"/>
      <c r="AE146" s="1164"/>
      <c r="AF146" s="1164"/>
      <c r="AG146" s="1636"/>
      <c r="AH146" s="570"/>
      <c r="AI146" s="570"/>
      <c r="AJ146" s="570"/>
      <c r="AK146" s="570"/>
      <c r="AL146" s="1645">
        <v>11</v>
      </c>
    </row>
    <row s="1645" customFormat="1" customHeight="1" ht="11.549999999999999">
      <c r="A147" s="991"/>
      <c r="B147" s="1640"/>
      <c r="C147" s="1640"/>
      <c r="D147" s="355"/>
      <c r="J147" s="1645"/>
      <c r="K147" s="1645"/>
      <c r="L147" s="1645"/>
      <c r="M147" s="1645"/>
      <c r="N147" s="1645"/>
      <c r="O147" s="1645"/>
      <c r="Q147" s="1164"/>
      <c r="R147" s="1640"/>
      <c r="S147" s="1640"/>
      <c r="T147" s="1164"/>
      <c r="U147" s="1164"/>
      <c r="V147" s="1164"/>
      <c r="W147" s="1164"/>
      <c r="X147" s="1640"/>
      <c r="Y147" s="1164"/>
      <c r="Z147" s="1164"/>
      <c r="AA147" s="548"/>
      <c r="AB147" s="1164"/>
      <c r="AC147" s="1164"/>
      <c r="AD147" s="1164"/>
      <c r="AE147" s="1164"/>
      <c r="AF147" s="1164"/>
      <c r="AG147" s="1636"/>
      <c r="AH147" s="570"/>
      <c r="AI147" s="570"/>
      <c r="AJ147" s="570"/>
      <c r="AK147" s="570"/>
      <c r="AL147" s="1645">
        <v>11</v>
      </c>
    </row>
    <row s="1645" customFormat="1" customHeight="1" ht="11.549999999999999">
      <c r="A148" s="991"/>
      <c r="B148" s="1640"/>
      <c r="C148" s="1640"/>
      <c r="D148" s="355"/>
      <c r="J148" s="1645"/>
      <c r="K148" s="1645"/>
      <c r="L148" s="1645"/>
      <c r="M148" s="1645"/>
      <c r="N148" s="1645"/>
      <c r="O148" s="1645"/>
      <c r="Q148" s="1164"/>
      <c r="R148" s="1640"/>
      <c r="S148" s="1640"/>
      <c r="T148" s="1164"/>
      <c r="U148" s="1164"/>
      <c r="V148" s="1164"/>
      <c r="W148" s="1164"/>
      <c r="X148" s="1640"/>
      <c r="Y148" s="1164"/>
      <c r="Z148" s="1164"/>
      <c r="AA148" s="548"/>
      <c r="AB148" s="1164"/>
      <c r="AC148" s="1164"/>
      <c r="AD148" s="1164"/>
      <c r="AE148" s="1164"/>
      <c r="AF148" s="1164"/>
      <c r="AG148" s="1636"/>
      <c r="AH148" s="570"/>
      <c r="AI148" s="570"/>
      <c r="AJ148" s="570"/>
      <c r="AK148" s="570"/>
      <c r="AL148" s="1645">
        <v>11</v>
      </c>
    </row>
    <row s="1645" customFormat="1" customHeight="1" ht="11.549999999999999">
      <c r="A149" s="991"/>
      <c r="B149" s="1640"/>
      <c r="C149" s="1640"/>
      <c r="D149" s="355"/>
      <c r="J149" s="1645"/>
      <c r="K149" s="1645"/>
      <c r="L149" s="1645"/>
      <c r="M149" s="1645"/>
      <c r="N149" s="1645"/>
      <c r="O149" s="1645"/>
      <c r="Q149" s="1164"/>
      <c r="R149" s="1640"/>
      <c r="S149" s="1640"/>
      <c r="T149" s="1164"/>
      <c r="U149" s="1164"/>
      <c r="V149" s="1164"/>
      <c r="W149" s="1164"/>
      <c r="X149" s="1640"/>
      <c r="Y149" s="1164"/>
      <c r="Z149" s="1164"/>
      <c r="AA149" s="548"/>
      <c r="AB149" s="1164"/>
      <c r="AC149" s="1164"/>
      <c r="AD149" s="1164"/>
      <c r="AE149" s="1164"/>
      <c r="AF149" s="1164"/>
      <c r="AG149" s="1636"/>
      <c r="AH149" s="570"/>
      <c r="AI149" s="570"/>
      <c r="AJ149" s="570"/>
      <c r="AK149" s="570"/>
      <c r="AL149" s="1645">
        <v>11</v>
      </c>
    </row>
    <row s="1645" customFormat="1" customHeight="1" ht="11.549999999999999">
      <c r="A150" s="991"/>
      <c r="B150" s="1640"/>
      <c r="C150" s="1640"/>
      <c r="D150" s="355"/>
      <c r="J150" s="1645"/>
      <c r="K150" s="1645"/>
      <c r="L150" s="1645"/>
      <c r="M150" s="1645"/>
      <c r="N150" s="1645"/>
      <c r="O150" s="1645"/>
      <c r="Q150" s="1164"/>
      <c r="R150" s="1640"/>
      <c r="S150" s="1640"/>
      <c r="T150" s="1164"/>
      <c r="U150" s="1164"/>
      <c r="V150" s="1164"/>
      <c r="W150" s="1164"/>
      <c r="X150" s="1640"/>
      <c r="Y150" s="1164"/>
      <c r="Z150" s="1164"/>
      <c r="AA150" s="548"/>
      <c r="AB150" s="1164"/>
      <c r="AC150" s="1164"/>
      <c r="AD150" s="1164"/>
      <c r="AE150" s="1164"/>
      <c r="AF150" s="1164"/>
      <c r="AG150" s="1636"/>
      <c r="AH150" s="570"/>
      <c r="AI150" s="570"/>
      <c r="AJ150" s="570"/>
      <c r="AK150" s="570"/>
      <c r="AL150" s="1645">
        <v>11</v>
      </c>
    </row>
    <row s="1645" customFormat="1" customHeight="1" ht="11.549999999999999">
      <c r="A151" s="991"/>
      <c r="B151" s="1640"/>
      <c r="C151" s="1640"/>
      <c r="D151" s="355"/>
      <c r="J151" s="1645"/>
      <c r="K151" s="1645"/>
      <c r="L151" s="1645"/>
      <c r="M151" s="1645"/>
      <c r="N151" s="1645"/>
      <c r="O151" s="1645"/>
      <c r="Q151" s="1164"/>
      <c r="R151" s="1640"/>
      <c r="S151" s="1640"/>
      <c r="T151" s="1164"/>
      <c r="U151" s="1164"/>
      <c r="V151" s="1164"/>
      <c r="W151" s="1164"/>
      <c r="X151" s="1640"/>
      <c r="Y151" s="1164"/>
      <c r="Z151" s="1164"/>
      <c r="AA151" s="548"/>
      <c r="AB151" s="1164"/>
      <c r="AC151" s="1164"/>
      <c r="AD151" s="1164"/>
      <c r="AE151" s="1164"/>
      <c r="AF151" s="1164"/>
      <c r="AG151" s="1636"/>
      <c r="AH151" s="570"/>
      <c r="AI151" s="570"/>
      <c r="AJ151" s="570"/>
      <c r="AK151" s="570"/>
      <c r="AL151" s="1645">
        <v>11</v>
      </c>
    </row>
    <row s="1645" customFormat="1" customHeight="1" ht="11.549999999999999">
      <c r="A152" s="991"/>
      <c r="B152" s="1640"/>
      <c r="C152" s="1640"/>
      <c r="D152" s="355"/>
      <c r="J152" s="1645"/>
      <c r="K152" s="1645"/>
      <c r="L152" s="1645"/>
      <c r="M152" s="1645"/>
      <c r="N152" s="1645"/>
      <c r="O152" s="1645"/>
      <c r="Q152" s="1164"/>
      <c r="R152" s="1640"/>
      <c r="S152" s="1640"/>
      <c r="T152" s="1164"/>
      <c r="U152" s="1164"/>
      <c r="V152" s="1164"/>
      <c r="W152" s="1164"/>
      <c r="X152" s="1640"/>
      <c r="Y152" s="1164"/>
      <c r="Z152" s="1164"/>
      <c r="AA152" s="548"/>
      <c r="AB152" s="1164"/>
      <c r="AC152" s="1164"/>
      <c r="AD152" s="1164"/>
      <c r="AE152" s="1164"/>
      <c r="AF152" s="1164"/>
      <c r="AG152" s="1636"/>
      <c r="AH152" s="570"/>
      <c r="AI152" s="570"/>
      <c r="AJ152" s="570"/>
      <c r="AK152" s="570"/>
      <c r="AL152" s="1645">
        <v>11</v>
      </c>
    </row>
    <row s="1645" customFormat="1" customHeight="1" ht="11.549999999999999">
      <c r="A153" s="991"/>
      <c r="B153" s="1640"/>
      <c r="C153" s="1640"/>
      <c r="D153" s="355"/>
      <c r="J153" s="1645"/>
      <c r="K153" s="1645"/>
      <c r="L153" s="1645"/>
      <c r="M153" s="1645"/>
      <c r="N153" s="1645"/>
      <c r="O153" s="1645"/>
      <c r="Q153" s="1164"/>
      <c r="R153" s="1640"/>
      <c r="S153" s="1640"/>
      <c r="T153" s="1164"/>
      <c r="U153" s="1164"/>
      <c r="V153" s="1164"/>
      <c r="W153" s="1164"/>
      <c r="X153" s="1640"/>
      <c r="Y153" s="1164"/>
      <c r="Z153" s="1164"/>
      <c r="AA153" s="548"/>
      <c r="AB153" s="1164"/>
      <c r="AC153" s="1164"/>
      <c r="AD153" s="1164"/>
      <c r="AE153" s="1164"/>
      <c r="AF153" s="1164"/>
      <c r="AG153" s="1636"/>
      <c r="AH153" s="570"/>
      <c r="AI153" s="570"/>
      <c r="AJ153" s="570"/>
      <c r="AK153" s="570"/>
      <c r="AL153" s="1645">
        <v>11</v>
      </c>
    </row>
    <row s="1645" customFormat="1" customHeight="1" ht="11.549999999999999">
      <c r="A154" s="991"/>
      <c r="B154" s="1640"/>
      <c r="C154" s="1640"/>
      <c r="D154" s="355"/>
      <c r="J154" s="1645"/>
      <c r="K154" s="1645"/>
      <c r="L154" s="1645"/>
      <c r="M154" s="1645"/>
      <c r="N154" s="1645"/>
      <c r="O154" s="1645"/>
      <c r="Q154" s="1164"/>
      <c r="R154" s="1640"/>
      <c r="S154" s="1640"/>
      <c r="T154" s="1164"/>
      <c r="U154" s="1164"/>
      <c r="V154" s="1164"/>
      <c r="W154" s="1164"/>
      <c r="X154" s="1640"/>
      <c r="Y154" s="1164"/>
      <c r="Z154" s="1164"/>
      <c r="AA154" s="548"/>
      <c r="AB154" s="1164"/>
      <c r="AC154" s="1164"/>
      <c r="AD154" s="1164"/>
      <c r="AE154" s="1164"/>
      <c r="AF154" s="1164"/>
      <c r="AG154" s="1636"/>
      <c r="AH154" s="570"/>
      <c r="AI154" s="570"/>
      <c r="AJ154" s="570"/>
      <c r="AK154" s="570"/>
      <c r="AL154" s="1645">
        <v>11</v>
      </c>
    </row>
    <row s="1645" customFormat="1" customHeight="1" ht="11.549999999999999">
      <c r="A155" s="991"/>
      <c r="B155" s="1640"/>
      <c r="C155" s="1640"/>
      <c r="D155" s="355"/>
      <c r="J155" s="1645"/>
      <c r="K155" s="1645"/>
      <c r="L155" s="1645"/>
      <c r="M155" s="1645"/>
      <c r="N155" s="1645"/>
      <c r="O155" s="1645"/>
      <c r="Q155" s="1164"/>
      <c r="R155" s="1640"/>
      <c r="S155" s="1640"/>
      <c r="T155" s="1164"/>
      <c r="U155" s="1164"/>
      <c r="V155" s="1164"/>
      <c r="W155" s="1164"/>
      <c r="X155" s="1640"/>
      <c r="Y155" s="1164"/>
      <c r="Z155" s="1164"/>
      <c r="AA155" s="548"/>
      <c r="AB155" s="1164"/>
      <c r="AC155" s="1164"/>
      <c r="AD155" s="1164"/>
      <c r="AE155" s="1164"/>
      <c r="AF155" s="1164"/>
      <c r="AG155" s="1636"/>
      <c r="AH155" s="570"/>
      <c r="AI155" s="570"/>
      <c r="AJ155" s="570"/>
      <c r="AK155" s="570"/>
      <c r="AL155" s="1645">
        <v>11</v>
      </c>
    </row>
    <row s="1645" customFormat="1" customHeight="1" ht="11.549999999999999">
      <c r="A156" s="991"/>
      <c r="B156" s="1640"/>
      <c r="C156" s="1640"/>
      <c r="D156" s="355"/>
      <c r="J156" s="1645"/>
      <c r="K156" s="1645"/>
      <c r="L156" s="1645"/>
      <c r="M156" s="1645"/>
      <c r="N156" s="1645"/>
      <c r="O156" s="1645"/>
      <c r="Q156" s="1164"/>
      <c r="R156" s="1640"/>
      <c r="S156" s="1640"/>
      <c r="T156" s="1164"/>
      <c r="U156" s="1164"/>
      <c r="V156" s="1164"/>
      <c r="W156" s="1164"/>
      <c r="X156" s="1640"/>
      <c r="Y156" s="1164"/>
      <c r="Z156" s="1164"/>
      <c r="AA156" s="548"/>
      <c r="AB156" s="1164"/>
      <c r="AC156" s="1164"/>
      <c r="AD156" s="1164"/>
      <c r="AE156" s="1164"/>
      <c r="AF156" s="1164"/>
      <c r="AG156" s="1636"/>
      <c r="AH156" s="570"/>
      <c r="AI156" s="570"/>
      <c r="AJ156" s="570"/>
      <c r="AK156" s="570"/>
      <c r="AL156" s="1645">
        <v>11</v>
      </c>
    </row>
    <row s="1645" customFormat="1" customHeight="1" ht="11.549999999999999">
      <c r="A157" s="991"/>
      <c r="B157" s="1640"/>
      <c r="C157" s="1640"/>
      <c r="D157" s="355"/>
      <c r="J157" s="1645"/>
      <c r="K157" s="1645"/>
      <c r="L157" s="1645"/>
      <c r="M157" s="1645"/>
      <c r="N157" s="1645"/>
      <c r="O157" s="1645"/>
      <c r="Q157" s="1164"/>
      <c r="R157" s="1640"/>
      <c r="S157" s="1640"/>
      <c r="T157" s="1164"/>
      <c r="U157" s="1164"/>
      <c r="V157" s="1164"/>
      <c r="W157" s="1164"/>
      <c r="X157" s="1640"/>
      <c r="Y157" s="1164"/>
      <c r="Z157" s="1164"/>
      <c r="AA157" s="548"/>
      <c r="AB157" s="1164"/>
      <c r="AC157" s="1164"/>
      <c r="AD157" s="1164"/>
      <c r="AE157" s="1164"/>
      <c r="AF157" s="1164"/>
      <c r="AG157" s="1636"/>
      <c r="AH157" s="570"/>
      <c r="AI157" s="570"/>
      <c r="AJ157" s="570"/>
      <c r="AK157" s="570"/>
      <c r="AL157" s="1645">
        <v>11</v>
      </c>
    </row>
    <row s="1645" customFormat="1" customHeight="1" ht="11.549999999999999">
      <c r="A158" s="991"/>
      <c r="B158" s="1640"/>
      <c r="C158" s="1640"/>
      <c r="D158" s="355"/>
      <c r="J158" s="1645"/>
      <c r="K158" s="1645"/>
      <c r="L158" s="1645"/>
      <c r="M158" s="1645"/>
      <c r="N158" s="1645"/>
      <c r="O158" s="1645"/>
      <c r="Q158" s="1164"/>
      <c r="R158" s="1640"/>
      <c r="S158" s="1640"/>
      <c r="T158" s="1164"/>
      <c r="U158" s="1164"/>
      <c r="V158" s="1164"/>
      <c r="W158" s="1164"/>
      <c r="X158" s="1640"/>
      <c r="Y158" s="1164"/>
      <c r="Z158" s="1164"/>
      <c r="AA158" s="548"/>
      <c r="AB158" s="1164"/>
      <c r="AC158" s="1164"/>
      <c r="AD158" s="1164"/>
      <c r="AE158" s="1164"/>
      <c r="AF158" s="1164"/>
      <c r="AG158" s="1636"/>
      <c r="AH158" s="570"/>
      <c r="AI158" s="570"/>
      <c r="AJ158" s="570"/>
      <c r="AK158" s="570"/>
      <c r="AL158" s="1645">
        <v>11</v>
      </c>
    </row>
    <row s="1645" customFormat="1" customHeight="1" ht="11.549999999999999">
      <c r="A159" s="991"/>
      <c r="B159" s="1640"/>
      <c r="C159" s="1640"/>
      <c r="D159" s="355"/>
      <c r="J159" s="1645"/>
      <c r="K159" s="1645"/>
      <c r="L159" s="1645"/>
      <c r="M159" s="1645"/>
      <c r="N159" s="1645"/>
      <c r="O159" s="1645"/>
      <c r="Q159" s="1164"/>
      <c r="R159" s="1640"/>
      <c r="S159" s="1640"/>
      <c r="T159" s="1164"/>
      <c r="U159" s="1164"/>
      <c r="V159" s="1164"/>
      <c r="W159" s="1164"/>
      <c r="X159" s="1640"/>
      <c r="Y159" s="1164"/>
      <c r="Z159" s="1164"/>
      <c r="AA159" s="548"/>
      <c r="AB159" s="1164"/>
      <c r="AC159" s="1164"/>
      <c r="AD159" s="1164"/>
      <c r="AE159" s="1164"/>
      <c r="AF159" s="1164"/>
      <c r="AG159" s="1636"/>
      <c r="AH159" s="570"/>
      <c r="AI159" s="570"/>
      <c r="AJ159" s="570"/>
      <c r="AK159" s="570"/>
      <c r="AL159" s="1645">
        <v>11</v>
      </c>
    </row>
    <row s="1645" customFormat="1" customHeight="1" ht="11.549999999999999">
      <c r="A160" s="991"/>
      <c r="B160" s="1640"/>
      <c r="C160" s="1640"/>
      <c r="D160" s="355"/>
      <c r="J160" s="1645"/>
      <c r="K160" s="1645"/>
      <c r="L160" s="1645"/>
      <c r="M160" s="1645"/>
      <c r="N160" s="1645"/>
      <c r="O160" s="1645"/>
      <c r="Q160" s="1164"/>
      <c r="R160" s="1640"/>
      <c r="S160" s="1640"/>
      <c r="T160" s="1164"/>
      <c r="U160" s="1164"/>
      <c r="V160" s="1164"/>
      <c r="W160" s="1164"/>
      <c r="X160" s="1640"/>
      <c r="Y160" s="1164"/>
      <c r="Z160" s="1164"/>
      <c r="AA160" s="548"/>
      <c r="AB160" s="1164"/>
      <c r="AC160" s="1164"/>
      <c r="AD160" s="1164"/>
      <c r="AE160" s="1164"/>
      <c r="AF160" s="1164"/>
      <c r="AG160" s="1636"/>
      <c r="AH160" s="570"/>
      <c r="AI160" s="570"/>
      <c r="AJ160" s="570"/>
      <c r="AK160" s="570"/>
      <c r="AL160" s="1645">
        <v>11</v>
      </c>
    </row>
    <row s="1645" customFormat="1" customHeight="1" ht="11.549999999999999">
      <c r="A161" s="991"/>
      <c r="B161" s="1640"/>
      <c r="C161" s="1640"/>
      <c r="D161" s="355"/>
      <c r="J161" s="1645"/>
      <c r="K161" s="1645"/>
      <c r="L161" s="1645"/>
      <c r="M161" s="1645"/>
      <c r="N161" s="1645"/>
      <c r="O161" s="1645"/>
      <c r="Q161" s="1164"/>
      <c r="R161" s="1640"/>
      <c r="S161" s="1640"/>
      <c r="T161" s="1164"/>
      <c r="U161" s="1164"/>
      <c r="V161" s="1164"/>
      <c r="W161" s="1164"/>
      <c r="X161" s="1640"/>
      <c r="Y161" s="1164"/>
      <c r="Z161" s="1164"/>
      <c r="AA161" s="548"/>
      <c r="AB161" s="1164"/>
      <c r="AC161" s="1164"/>
      <c r="AD161" s="1164"/>
      <c r="AE161" s="1164"/>
      <c r="AF161" s="1164"/>
      <c r="AG161" s="1636"/>
      <c r="AH161" s="570"/>
      <c r="AI161" s="570"/>
      <c r="AJ161" s="570"/>
      <c r="AK161" s="570"/>
      <c r="AL161" s="1645">
        <v>11</v>
      </c>
    </row>
    <row s="1645" customFormat="1" customHeight="1" ht="11.549999999999999">
      <c r="A162" s="991"/>
      <c r="B162" s="1640"/>
      <c r="C162" s="1640"/>
      <c r="D162" s="355"/>
      <c r="J162" s="1645"/>
      <c r="K162" s="1645"/>
      <c r="L162" s="1645"/>
      <c r="M162" s="1645"/>
      <c r="N162" s="1645"/>
      <c r="O162" s="1645"/>
      <c r="Q162" s="1164"/>
      <c r="R162" s="1640"/>
      <c r="S162" s="1640"/>
      <c r="T162" s="1164"/>
      <c r="U162" s="1164"/>
      <c r="V162" s="1164"/>
      <c r="W162" s="1164"/>
      <c r="X162" s="1640"/>
      <c r="Y162" s="1164"/>
      <c r="Z162" s="1164"/>
      <c r="AA162" s="548"/>
      <c r="AB162" s="1164"/>
      <c r="AC162" s="1164"/>
      <c r="AD162" s="1164"/>
      <c r="AE162" s="1164"/>
      <c r="AF162" s="1164"/>
      <c r="AG162" s="1636"/>
      <c r="AH162" s="570"/>
      <c r="AI162" s="570"/>
      <c r="AJ162" s="570"/>
      <c r="AK162" s="570"/>
      <c r="AL162" s="1645">
        <v>11</v>
      </c>
    </row>
    <row s="1645" customFormat="1" customHeight="1" ht="11.549999999999999">
      <c r="A163" s="991"/>
      <c r="B163" s="1640"/>
      <c r="C163" s="1640"/>
      <c r="D163" s="355"/>
      <c r="J163" s="1645"/>
      <c r="K163" s="1645"/>
      <c r="L163" s="1645"/>
      <c r="M163" s="1645"/>
      <c r="N163" s="1645"/>
      <c r="O163" s="1645"/>
      <c r="Q163" s="1164"/>
      <c r="R163" s="1640"/>
      <c r="S163" s="1640"/>
      <c r="T163" s="1164"/>
      <c r="U163" s="1164"/>
      <c r="V163" s="1164"/>
      <c r="W163" s="1164"/>
      <c r="X163" s="1640"/>
      <c r="Y163" s="1164"/>
      <c r="Z163" s="1164"/>
      <c r="AA163" s="548"/>
      <c r="AB163" s="1164"/>
      <c r="AC163" s="1164"/>
      <c r="AD163" s="1164"/>
      <c r="AE163" s="1164"/>
      <c r="AF163" s="1164"/>
      <c r="AG163" s="1636"/>
      <c r="AH163" s="570"/>
      <c r="AI163" s="570"/>
      <c r="AJ163" s="570"/>
      <c r="AK163" s="570"/>
      <c r="AL163" s="1645">
        <v>11</v>
      </c>
    </row>
    <row s="1645" customFormat="1" customHeight="1" ht="11.549999999999999">
      <c r="A164" s="991"/>
      <c r="B164" s="1640"/>
      <c r="C164" s="1640"/>
      <c r="D164" s="355"/>
      <c r="J164" s="1645"/>
      <c r="K164" s="1645"/>
      <c r="L164" s="1645"/>
      <c r="M164" s="1645"/>
      <c r="N164" s="1645"/>
      <c r="O164" s="1645"/>
      <c r="Q164" s="1164"/>
      <c r="R164" s="1640"/>
      <c r="S164" s="1640"/>
      <c r="T164" s="1164"/>
      <c r="U164" s="1164"/>
      <c r="V164" s="1164"/>
      <c r="W164" s="1164"/>
      <c r="X164" s="1640"/>
      <c r="Y164" s="1164"/>
      <c r="Z164" s="1164"/>
      <c r="AA164" s="548"/>
      <c r="AB164" s="1164"/>
      <c r="AC164" s="1164"/>
      <c r="AD164" s="1164"/>
      <c r="AE164" s="1164"/>
      <c r="AF164" s="1164"/>
      <c r="AG164" s="1636"/>
      <c r="AH164" s="570"/>
      <c r="AI164" s="570"/>
      <c r="AJ164" s="570"/>
      <c r="AK164" s="570"/>
      <c r="AL164" s="1645">
        <v>11</v>
      </c>
    </row>
    <row s="1645" customFormat="1" customHeight="1" ht="11.549999999999999">
      <c r="A165" s="991"/>
      <c r="B165" s="1640"/>
      <c r="C165" s="1640"/>
      <c r="D165" s="355"/>
      <c r="J165" s="1645"/>
      <c r="K165" s="1645"/>
      <c r="L165" s="1645"/>
      <c r="M165" s="1645"/>
      <c r="N165" s="1645"/>
      <c r="O165" s="1645"/>
      <c r="Q165" s="1164"/>
      <c r="R165" s="1640"/>
      <c r="S165" s="1640"/>
      <c r="T165" s="1164"/>
      <c r="U165" s="1164"/>
      <c r="V165" s="1164"/>
      <c r="W165" s="1164"/>
      <c r="X165" s="1640"/>
      <c r="Y165" s="1164"/>
      <c r="Z165" s="1164"/>
      <c r="AA165" s="548"/>
      <c r="AB165" s="1164"/>
      <c r="AC165" s="1164"/>
      <c r="AD165" s="1164"/>
      <c r="AE165" s="1164"/>
      <c r="AF165" s="1164"/>
      <c r="AG165" s="1636"/>
      <c r="AH165" s="570"/>
      <c r="AI165" s="570"/>
      <c r="AJ165" s="570"/>
      <c r="AK165" s="570"/>
      <c r="AL165" s="1645">
        <v>11</v>
      </c>
    </row>
    <row s="1645" customFormat="1" customHeight="1" ht="11.549999999999999">
      <c r="A166" s="991"/>
      <c r="B166" s="1640"/>
      <c r="C166" s="1640"/>
      <c r="D166" s="355"/>
      <c r="J166" s="1645"/>
      <c r="K166" s="1645"/>
      <c r="L166" s="1645"/>
      <c r="M166" s="1645"/>
      <c r="N166" s="1645"/>
      <c r="O166" s="1645"/>
      <c r="Q166" s="1164"/>
      <c r="R166" s="1640"/>
      <c r="S166" s="1640"/>
      <c r="T166" s="1164"/>
      <c r="U166" s="1164"/>
      <c r="V166" s="1164"/>
      <c r="W166" s="1164"/>
      <c r="X166" s="1640"/>
      <c r="Y166" s="1164"/>
      <c r="Z166" s="1164"/>
      <c r="AA166" s="548"/>
      <c r="AB166" s="1164"/>
      <c r="AC166" s="1164"/>
      <c r="AD166" s="1164"/>
      <c r="AE166" s="1164"/>
      <c r="AF166" s="1164"/>
      <c r="AG166" s="1636"/>
      <c r="AH166" s="570"/>
      <c r="AI166" s="570"/>
      <c r="AJ166" s="570"/>
      <c r="AK166" s="570"/>
      <c r="AL166" s="1645">
        <v>11</v>
      </c>
    </row>
    <row s="1645" customFormat="1" customHeight="1" ht="11.549999999999999">
      <c r="A167" s="991"/>
      <c r="B167" s="1640"/>
      <c r="C167" s="1640"/>
      <c r="D167" s="355"/>
      <c r="J167" s="1645"/>
      <c r="K167" s="1645"/>
      <c r="L167" s="1645"/>
      <c r="M167" s="1645"/>
      <c r="N167" s="1645"/>
      <c r="O167" s="1645"/>
      <c r="Q167" s="1164"/>
      <c r="R167" s="1640"/>
      <c r="S167" s="1640"/>
      <c r="T167" s="1164"/>
      <c r="U167" s="1164"/>
      <c r="V167" s="1164"/>
      <c r="W167" s="1164"/>
      <c r="X167" s="1640"/>
      <c r="Y167" s="1164"/>
      <c r="Z167" s="1164"/>
      <c r="AA167" s="548"/>
      <c r="AB167" s="1164"/>
      <c r="AC167" s="1164"/>
      <c r="AD167" s="1164"/>
      <c r="AE167" s="1164"/>
      <c r="AF167" s="1164"/>
      <c r="AG167" s="1636"/>
      <c r="AH167" s="570"/>
      <c r="AI167" s="570"/>
      <c r="AJ167" s="570"/>
      <c r="AK167" s="570"/>
      <c r="AL167" s="1645">
        <v>11</v>
      </c>
    </row>
    <row s="1645" customFormat="1" customHeight="1" ht="11.549999999999999">
      <c r="A168" s="991"/>
      <c r="B168" s="1640"/>
      <c r="C168" s="1640"/>
      <c r="D168" s="355"/>
      <c r="J168" s="1645"/>
      <c r="K168" s="1645"/>
      <c r="L168" s="1645"/>
      <c r="M168" s="1645"/>
      <c r="N168" s="1645"/>
      <c r="O168" s="1645"/>
      <c r="Q168" s="1164"/>
      <c r="R168" s="1640"/>
      <c r="S168" s="1640"/>
      <c r="T168" s="1164"/>
      <c r="U168" s="1164"/>
      <c r="V168" s="1164"/>
      <c r="W168" s="1164"/>
      <c r="X168" s="1640"/>
      <c r="Y168" s="1164"/>
      <c r="Z168" s="1164"/>
      <c r="AA168" s="548"/>
      <c r="AB168" s="1164"/>
      <c r="AC168" s="1164"/>
      <c r="AD168" s="1164"/>
      <c r="AE168" s="1164"/>
      <c r="AF168" s="1164"/>
      <c r="AG168" s="1636"/>
      <c r="AH168" s="570"/>
      <c r="AI168" s="570"/>
      <c r="AJ168" s="570"/>
      <c r="AK168" s="570"/>
      <c r="AL168" s="1645">
        <v>11</v>
      </c>
    </row>
    <row s="1645" customFormat="1" customHeight="1" ht="11.549999999999999">
      <c r="A169" s="991"/>
      <c r="B169" s="1640"/>
      <c r="C169" s="1640"/>
      <c r="D169" s="355"/>
      <c r="J169" s="1645"/>
      <c r="K169" s="1645"/>
      <c r="L169" s="1645"/>
      <c r="M169" s="1645"/>
      <c r="N169" s="1645"/>
      <c r="O169" s="1645"/>
      <c r="Q169" s="1164"/>
      <c r="R169" s="1640"/>
      <c r="S169" s="1640"/>
      <c r="T169" s="1164"/>
      <c r="U169" s="1164"/>
      <c r="V169" s="1164"/>
      <c r="W169" s="1164"/>
      <c r="X169" s="1640"/>
      <c r="Y169" s="1164"/>
      <c r="Z169" s="1164"/>
      <c r="AA169" s="548"/>
      <c r="AB169" s="1164"/>
      <c r="AC169" s="1164"/>
      <c r="AD169" s="1164"/>
      <c r="AE169" s="1164"/>
      <c r="AF169" s="1164"/>
      <c r="AG169" s="1636"/>
      <c r="AH169" s="570"/>
      <c r="AI169" s="570"/>
      <c r="AJ169" s="570"/>
      <c r="AK169" s="570"/>
      <c r="AL169" s="1645">
        <v>11</v>
      </c>
    </row>
    <row s="1645" customFormat="1" customHeight="1" ht="11.549999999999999">
      <c r="A170" s="991"/>
      <c r="B170" s="1640"/>
      <c r="C170" s="1640"/>
      <c r="D170" s="355"/>
      <c r="J170" s="1645"/>
      <c r="K170" s="1645"/>
      <c r="L170" s="1645"/>
      <c r="M170" s="1645"/>
      <c r="N170" s="1645"/>
      <c r="O170" s="1645"/>
      <c r="Q170" s="1164"/>
      <c r="R170" s="1640"/>
      <c r="S170" s="1640"/>
      <c r="T170" s="1164"/>
      <c r="U170" s="1164"/>
      <c r="V170" s="1164"/>
      <c r="W170" s="1164"/>
      <c r="X170" s="1640"/>
      <c r="Y170" s="1164"/>
      <c r="Z170" s="1164"/>
      <c r="AA170" s="548"/>
      <c r="AB170" s="1164"/>
      <c r="AC170" s="1164"/>
      <c r="AD170" s="1164"/>
      <c r="AE170" s="1164"/>
      <c r="AF170" s="1164"/>
      <c r="AG170" s="1636"/>
      <c r="AH170" s="570"/>
      <c r="AI170" s="570"/>
      <c r="AJ170" s="570"/>
      <c r="AK170" s="570"/>
      <c r="AL170" s="1645">
        <v>11</v>
      </c>
    </row>
    <row s="1645" customFormat="1" customHeight="1" ht="11.549999999999999">
      <c r="A171" s="991"/>
      <c r="B171" s="1640"/>
      <c r="C171" s="1640"/>
      <c r="D171" s="355"/>
      <c r="J171" s="1645"/>
      <c r="K171" s="1645"/>
      <c r="L171" s="1645"/>
      <c r="M171" s="1645"/>
      <c r="N171" s="1645"/>
      <c r="O171" s="1645"/>
      <c r="Q171" s="1164"/>
      <c r="R171" s="1640"/>
      <c r="S171" s="1640"/>
      <c r="T171" s="1164"/>
      <c r="U171" s="1164"/>
      <c r="V171" s="1164"/>
      <c r="W171" s="1164"/>
      <c r="X171" s="1640"/>
      <c r="Y171" s="1164"/>
      <c r="Z171" s="1164"/>
      <c r="AA171" s="548"/>
      <c r="AB171" s="1164"/>
      <c r="AC171" s="1164"/>
      <c r="AD171" s="1164"/>
      <c r="AE171" s="1164"/>
      <c r="AF171" s="1164"/>
      <c r="AG171" s="1636"/>
      <c r="AH171" s="570"/>
      <c r="AI171" s="570"/>
      <c r="AJ171" s="570"/>
      <c r="AK171" s="570"/>
      <c r="AL171" s="1645">
        <v>11</v>
      </c>
    </row>
    <row s="1645" customFormat="1" customHeight="1" ht="11.549999999999999">
      <c r="A172" s="991"/>
      <c r="B172" s="1640"/>
      <c r="C172" s="1640"/>
      <c r="D172" s="355"/>
      <c r="J172" s="1645"/>
      <c r="K172" s="1645"/>
      <c r="L172" s="1645"/>
      <c r="M172" s="1645"/>
      <c r="N172" s="1645"/>
      <c r="O172" s="1645"/>
      <c r="Q172" s="1164"/>
      <c r="R172" s="1640"/>
      <c r="S172" s="1640"/>
      <c r="T172" s="1164"/>
      <c r="U172" s="1164"/>
      <c r="V172" s="1164"/>
      <c r="W172" s="1164"/>
      <c r="X172" s="1640"/>
      <c r="Y172" s="1164"/>
      <c r="Z172" s="1164"/>
      <c r="AA172" s="548"/>
      <c r="AB172" s="1164"/>
      <c r="AC172" s="1164"/>
      <c r="AD172" s="1164"/>
      <c r="AE172" s="1164"/>
      <c r="AF172" s="1164"/>
      <c r="AG172" s="1636"/>
      <c r="AH172" s="570"/>
      <c r="AI172" s="570"/>
      <c r="AJ172" s="570"/>
      <c r="AK172" s="570"/>
      <c r="AL172" s="1645">
        <v>11</v>
      </c>
    </row>
    <row s="1645" customFormat="1" customHeight="1" ht="11.549999999999999">
      <c r="A173" s="991"/>
      <c r="B173" s="1640"/>
      <c r="C173" s="1640"/>
      <c r="D173" s="355"/>
      <c r="J173" s="1645"/>
      <c r="K173" s="1645"/>
      <c r="L173" s="1645"/>
      <c r="M173" s="1645"/>
      <c r="N173" s="1645"/>
      <c r="O173" s="1645"/>
      <c r="Q173" s="1164"/>
      <c r="R173" s="1640"/>
      <c r="S173" s="1640"/>
      <c r="T173" s="1164"/>
      <c r="U173" s="1164"/>
      <c r="V173" s="1164"/>
      <c r="W173" s="1164"/>
      <c r="X173" s="1640"/>
      <c r="Y173" s="1164"/>
      <c r="Z173" s="1164"/>
      <c r="AA173" s="548"/>
      <c r="AB173" s="1164"/>
      <c r="AC173" s="1164"/>
      <c r="AD173" s="1164"/>
      <c r="AE173" s="1164"/>
      <c r="AF173" s="1164"/>
      <c r="AG173" s="1636"/>
      <c r="AH173" s="570"/>
      <c r="AI173" s="570"/>
      <c r="AJ173" s="570"/>
      <c r="AK173" s="570"/>
      <c r="AL173" s="1645">
        <v>11</v>
      </c>
    </row>
    <row s="1645" customFormat="1" customHeight="1" ht="11.549999999999999">
      <c r="A174" s="991"/>
      <c r="B174" s="1640"/>
      <c r="C174" s="1640"/>
      <c r="D174" s="355"/>
      <c r="J174" s="1645"/>
      <c r="K174" s="1645"/>
      <c r="L174" s="1645"/>
      <c r="M174" s="1645"/>
      <c r="N174" s="1645"/>
      <c r="O174" s="1645"/>
      <c r="Q174" s="1164"/>
      <c r="R174" s="1640"/>
      <c r="S174" s="1640"/>
      <c r="T174" s="1164"/>
      <c r="U174" s="1164"/>
      <c r="V174" s="1164"/>
      <c r="W174" s="1164"/>
      <c r="X174" s="1640"/>
      <c r="Y174" s="1164"/>
      <c r="Z174" s="1164"/>
      <c r="AA174" s="548"/>
      <c r="AB174" s="1164"/>
      <c r="AC174" s="1164"/>
      <c r="AD174" s="1164"/>
      <c r="AE174" s="1164"/>
      <c r="AF174" s="1164"/>
      <c r="AG174" s="1636"/>
      <c r="AH174" s="570"/>
      <c r="AI174" s="570"/>
      <c r="AJ174" s="570"/>
      <c r="AK174" s="570"/>
      <c r="AL174" s="1645">
        <v>11</v>
      </c>
    </row>
    <row s="1645" customFormat="1" customHeight="1" ht="11.549999999999999">
      <c r="A175" s="991"/>
      <c r="B175" s="1640"/>
      <c r="C175" s="1640"/>
      <c r="D175" s="355"/>
      <c r="J175" s="1645"/>
      <c r="K175" s="1645"/>
      <c r="L175" s="1645"/>
      <c r="M175" s="1645"/>
      <c r="N175" s="1645"/>
      <c r="O175" s="1645"/>
      <c r="Q175" s="1164"/>
      <c r="R175" s="1640"/>
      <c r="S175" s="1640"/>
      <c r="T175" s="1164"/>
      <c r="U175" s="1164"/>
      <c r="V175" s="1164"/>
      <c r="W175" s="1164"/>
      <c r="X175" s="1640"/>
      <c r="Y175" s="1164"/>
      <c r="Z175" s="1164"/>
      <c r="AA175" s="548"/>
      <c r="AB175" s="1164"/>
      <c r="AC175" s="1164"/>
      <c r="AD175" s="1164"/>
      <c r="AE175" s="1164"/>
      <c r="AF175" s="1164"/>
      <c r="AG175" s="1636"/>
      <c r="AH175" s="570"/>
      <c r="AI175" s="570"/>
      <c r="AJ175" s="570"/>
      <c r="AK175" s="570"/>
      <c r="AL175" s="1645">
        <v>11</v>
      </c>
    </row>
    <row s="1645" customFormat="1" customHeight="1" ht="11.549999999999999">
      <c r="A176" s="991"/>
      <c r="B176" s="1640"/>
      <c r="C176" s="1640"/>
      <c r="D176" s="355"/>
      <c r="J176" s="1645"/>
      <c r="K176" s="1645"/>
      <c r="L176" s="1645"/>
      <c r="M176" s="1645"/>
      <c r="N176" s="1645"/>
      <c r="O176" s="1645"/>
      <c r="Q176" s="1164"/>
      <c r="R176" s="1640"/>
      <c r="S176" s="1640"/>
      <c r="T176" s="1164"/>
      <c r="U176" s="1164"/>
      <c r="V176" s="1164"/>
      <c r="W176" s="1164"/>
      <c r="X176" s="1640"/>
      <c r="Y176" s="1164"/>
      <c r="Z176" s="1164"/>
      <c r="AA176" s="548"/>
      <c r="AB176" s="1164"/>
      <c r="AC176" s="1164"/>
      <c r="AD176" s="1164"/>
      <c r="AE176" s="1164"/>
      <c r="AF176" s="1164"/>
      <c r="AG176" s="1636"/>
      <c r="AH176" s="570"/>
      <c r="AI176" s="570"/>
      <c r="AJ176" s="570"/>
      <c r="AK176" s="570"/>
      <c r="AL176" s="1645">
        <v>11</v>
      </c>
    </row>
    <row s="1645" customFormat="1" customHeight="1" ht="11.549999999999999">
      <c r="A177" s="991"/>
      <c r="B177" s="1640"/>
      <c r="C177" s="1640"/>
      <c r="D177" s="355"/>
      <c r="J177" s="1645"/>
      <c r="K177" s="1645"/>
      <c r="L177" s="1645"/>
      <c r="M177" s="1645"/>
      <c r="N177" s="1645"/>
      <c r="O177" s="1645"/>
      <c r="Q177" s="1164"/>
      <c r="R177" s="1640"/>
      <c r="S177" s="1640"/>
      <c r="T177" s="1164"/>
      <c r="U177" s="1164"/>
      <c r="V177" s="1164"/>
      <c r="W177" s="1164"/>
      <c r="X177" s="1640"/>
      <c r="Y177" s="1164"/>
      <c r="Z177" s="1164"/>
      <c r="AA177" s="548"/>
      <c r="AB177" s="1164"/>
      <c r="AC177" s="1164"/>
      <c r="AD177" s="1164"/>
      <c r="AE177" s="1164"/>
      <c r="AF177" s="1164"/>
      <c r="AG177" s="1636"/>
      <c r="AH177" s="570"/>
      <c r="AI177" s="570"/>
      <c r="AJ177" s="570"/>
      <c r="AK177" s="570"/>
      <c r="AL177" s="1645">
        <v>11</v>
      </c>
    </row>
    <row s="1645" customFormat="1" customHeight="1" ht="11.549999999999999">
      <c r="A178" s="991"/>
      <c r="B178" s="1640"/>
      <c r="C178" s="1640"/>
      <c r="D178" s="355"/>
      <c r="J178" s="1645"/>
      <c r="K178" s="1645"/>
      <c r="L178" s="1645"/>
      <c r="M178" s="1645"/>
      <c r="N178" s="1645"/>
      <c r="O178" s="1645"/>
      <c r="Q178" s="1164"/>
      <c r="R178" s="1640"/>
      <c r="S178" s="1640"/>
      <c r="T178" s="1164"/>
      <c r="U178" s="1164"/>
      <c r="V178" s="1164"/>
      <c r="W178" s="1164"/>
      <c r="X178" s="1640"/>
      <c r="Y178" s="1164"/>
      <c r="Z178" s="1164"/>
      <c r="AA178" s="548"/>
      <c r="AB178" s="1164"/>
      <c r="AC178" s="1164"/>
      <c r="AD178" s="1164"/>
      <c r="AE178" s="1164"/>
      <c r="AF178" s="1164"/>
      <c r="AG178" s="1636"/>
      <c r="AH178" s="570"/>
      <c r="AI178" s="570"/>
      <c r="AJ178" s="570"/>
      <c r="AK178" s="570"/>
      <c r="AL178" s="1645">
        <v>11</v>
      </c>
    </row>
    <row s="1645" customFormat="1" customHeight="1" ht="11.549999999999999">
      <c r="A179" s="991"/>
      <c r="B179" s="1640"/>
      <c r="C179" s="1640"/>
      <c r="D179" s="355"/>
      <c r="J179" s="1645"/>
      <c r="K179" s="1645"/>
      <c r="L179" s="1645"/>
      <c r="M179" s="1645"/>
      <c r="N179" s="1645"/>
      <c r="O179" s="1645"/>
      <c r="Q179" s="1164"/>
      <c r="R179" s="1640"/>
      <c r="S179" s="1640"/>
      <c r="T179" s="1164"/>
      <c r="U179" s="1164"/>
      <c r="V179" s="1164"/>
      <c r="W179" s="1164"/>
      <c r="X179" s="1640"/>
      <c r="Y179" s="1164"/>
      <c r="Z179" s="1164"/>
      <c r="AA179" s="548"/>
      <c r="AB179" s="1164"/>
      <c r="AC179" s="1164"/>
      <c r="AD179" s="1164"/>
      <c r="AE179" s="1164"/>
      <c r="AF179" s="1164"/>
      <c r="AG179" s="1636"/>
      <c r="AH179" s="570"/>
      <c r="AI179" s="570"/>
      <c r="AJ179" s="570"/>
      <c r="AK179" s="570"/>
      <c r="AL179" s="1645">
        <v>11</v>
      </c>
    </row>
    <row s="1645" customFormat="1" customHeight="1" ht="11.549999999999999">
      <c r="A180" s="991"/>
      <c r="B180" s="1640"/>
      <c r="C180" s="1640"/>
      <c r="D180" s="355"/>
      <c r="J180" s="1645"/>
      <c r="K180" s="1645"/>
      <c r="L180" s="1645"/>
      <c r="M180" s="1645"/>
      <c r="N180" s="1645"/>
      <c r="O180" s="1645"/>
      <c r="Q180" s="1164"/>
      <c r="R180" s="1640"/>
      <c r="S180" s="1640"/>
      <c r="T180" s="1164"/>
      <c r="U180" s="1164"/>
      <c r="V180" s="1164"/>
      <c r="W180" s="1164"/>
      <c r="X180" s="1640"/>
      <c r="Y180" s="1164"/>
      <c r="Z180" s="1164"/>
      <c r="AA180" s="548"/>
      <c r="AB180" s="1164"/>
      <c r="AC180" s="1164"/>
      <c r="AD180" s="1164"/>
      <c r="AE180" s="1164"/>
      <c r="AF180" s="1164"/>
      <c r="AG180" s="1636"/>
      <c r="AH180" s="570"/>
      <c r="AI180" s="570"/>
      <c r="AJ180" s="570"/>
      <c r="AK180" s="570"/>
      <c r="AL180" s="1645">
        <v>11</v>
      </c>
    </row>
    <row s="1645" customFormat="1" customHeight="1" ht="11.549999999999999">
      <c r="A181" s="991"/>
      <c r="B181" s="1640"/>
      <c r="C181" s="1640"/>
      <c r="D181" s="355"/>
      <c r="J181" s="1645"/>
      <c r="K181" s="1645"/>
      <c r="L181" s="1645"/>
      <c r="M181" s="1645"/>
      <c r="N181" s="1645"/>
      <c r="O181" s="1645"/>
      <c r="Q181" s="1164"/>
      <c r="R181" s="1640"/>
      <c r="S181" s="1640"/>
      <c r="T181" s="1164"/>
      <c r="U181" s="1164"/>
      <c r="V181" s="1164"/>
      <c r="W181" s="1164"/>
      <c r="X181" s="1640"/>
      <c r="Y181" s="1164"/>
      <c r="Z181" s="1164"/>
      <c r="AA181" s="548"/>
      <c r="AB181" s="1164"/>
      <c r="AC181" s="1164"/>
      <c r="AD181" s="1164"/>
      <c r="AE181" s="1164"/>
      <c r="AF181" s="1164"/>
      <c r="AG181" s="1636"/>
      <c r="AH181" s="570"/>
      <c r="AI181" s="570"/>
      <c r="AJ181" s="570"/>
      <c r="AK181" s="570"/>
      <c r="AL181" s="1645">
        <v>11</v>
      </c>
    </row>
    <row s="1645" customFormat="1" customHeight="1" ht="11.549999999999999">
      <c r="A182" s="991"/>
      <c r="B182" s="1640"/>
      <c r="C182" s="1640"/>
      <c r="D182" s="355"/>
      <c r="J182" s="1645"/>
      <c r="K182" s="1645"/>
      <c r="L182" s="1645"/>
      <c r="M182" s="1645"/>
      <c r="N182" s="1645"/>
      <c r="O182" s="1645"/>
      <c r="Q182" s="1164"/>
      <c r="R182" s="1640"/>
      <c r="S182" s="1640"/>
      <c r="T182" s="1164"/>
      <c r="U182" s="1164"/>
      <c r="V182" s="1164"/>
      <c r="W182" s="1164"/>
      <c r="X182" s="1640"/>
      <c r="Y182" s="1164"/>
      <c r="Z182" s="1164"/>
      <c r="AA182" s="548"/>
      <c r="AB182" s="1164"/>
      <c r="AC182" s="1164"/>
      <c r="AD182" s="1164"/>
      <c r="AE182" s="1164"/>
      <c r="AF182" s="1164"/>
      <c r="AG182" s="1636"/>
      <c r="AH182" s="570"/>
      <c r="AI182" s="570"/>
      <c r="AJ182" s="570"/>
      <c r="AK182" s="570"/>
      <c r="AL182" s="1645">
        <v>11</v>
      </c>
    </row>
    <row s="1645" customFormat="1" customHeight="1" ht="11.549999999999999">
      <c r="A183" s="991"/>
      <c r="B183" s="1640"/>
      <c r="C183" s="1640"/>
      <c r="D183" s="355"/>
      <c r="J183" s="1645"/>
      <c r="K183" s="1645"/>
      <c r="L183" s="1645"/>
      <c r="M183" s="1645"/>
      <c r="N183" s="1645"/>
      <c r="O183" s="1645"/>
      <c r="Q183" s="1164"/>
      <c r="R183" s="1640"/>
      <c r="S183" s="1640"/>
      <c r="T183" s="1164"/>
      <c r="U183" s="1164"/>
      <c r="V183" s="1164"/>
      <c r="W183" s="1164"/>
      <c r="X183" s="1640"/>
      <c r="Y183" s="1164"/>
      <c r="Z183" s="1164"/>
      <c r="AA183" s="548"/>
      <c r="AB183" s="1164"/>
      <c r="AC183" s="1164"/>
      <c r="AD183" s="1164"/>
      <c r="AE183" s="1164"/>
      <c r="AF183" s="1164"/>
      <c r="AG183" s="1636"/>
      <c r="AH183" s="570"/>
      <c r="AI183" s="570"/>
      <c r="AJ183" s="570"/>
      <c r="AK183" s="570"/>
      <c r="AL183" s="1645">
        <v>11</v>
      </c>
    </row>
    <row s="1645" customFormat="1" customHeight="1" ht="11.549999999999999">
      <c r="A184" s="991"/>
      <c r="B184" s="1640"/>
      <c r="C184" s="1640"/>
      <c r="D184" s="355"/>
      <c r="J184" s="1645"/>
      <c r="K184" s="1645"/>
      <c r="L184" s="1645"/>
      <c r="M184" s="1645"/>
      <c r="N184" s="1645"/>
      <c r="O184" s="1645"/>
      <c r="Q184" s="1164"/>
      <c r="R184" s="1640"/>
      <c r="S184" s="1640"/>
      <c r="T184" s="1164"/>
      <c r="U184" s="1164"/>
      <c r="V184" s="1164"/>
      <c r="W184" s="1164"/>
      <c r="X184" s="1640"/>
      <c r="Y184" s="1164"/>
      <c r="Z184" s="1164"/>
      <c r="AA184" s="548"/>
      <c r="AB184" s="1164"/>
      <c r="AC184" s="1164"/>
      <c r="AD184" s="1164"/>
      <c r="AE184" s="1164"/>
      <c r="AF184" s="1164"/>
      <c r="AG184" s="1636"/>
      <c r="AH184" s="570"/>
      <c r="AI184" s="570"/>
      <c r="AJ184" s="570"/>
      <c r="AK184" s="570"/>
      <c r="AL184" s="1645">
        <v>11</v>
      </c>
    </row>
    <row s="1645" customFormat="1" customHeight="1" ht="11.549999999999999">
      <c r="A185" s="991"/>
      <c r="B185" s="1640"/>
      <c r="C185" s="1640"/>
      <c r="D185" s="355"/>
      <c r="J185" s="1645"/>
      <c r="K185" s="1645"/>
      <c r="L185" s="1645"/>
      <c r="M185" s="1645"/>
      <c r="N185" s="1645"/>
      <c r="O185" s="1645"/>
      <c r="Q185" s="1164"/>
      <c r="R185" s="1640"/>
      <c r="S185" s="1640"/>
      <c r="T185" s="1164"/>
      <c r="U185" s="1164"/>
      <c r="V185" s="1164"/>
      <c r="W185" s="1164"/>
      <c r="X185" s="1640"/>
      <c r="Y185" s="1164"/>
      <c r="Z185" s="1164"/>
      <c r="AA185" s="548"/>
      <c r="AB185" s="1164"/>
      <c r="AC185" s="1164"/>
      <c r="AD185" s="1164"/>
      <c r="AE185" s="1164"/>
      <c r="AF185" s="1164"/>
      <c r="AG185" s="1636"/>
      <c r="AH185" s="570"/>
      <c r="AI185" s="570"/>
      <c r="AJ185" s="570"/>
      <c r="AK185" s="570"/>
      <c r="AL185" s="1645">
        <v>11</v>
      </c>
    </row>
    <row s="1645" customFormat="1" customHeight="1" ht="11.549999999999999">
      <c r="A186" s="991"/>
      <c r="B186" s="1640"/>
      <c r="C186" s="1640"/>
      <c r="D186" s="355"/>
      <c r="J186" s="1645"/>
      <c r="K186" s="1645"/>
      <c r="L186" s="1645"/>
      <c r="M186" s="1645"/>
      <c r="N186" s="1645"/>
      <c r="O186" s="1645"/>
      <c r="Q186" s="1164"/>
      <c r="R186" s="1640"/>
      <c r="S186" s="1640"/>
      <c r="T186" s="1164"/>
      <c r="U186" s="1164"/>
      <c r="V186" s="1164"/>
      <c r="W186" s="1164"/>
      <c r="X186" s="1640"/>
      <c r="Y186" s="1164"/>
      <c r="Z186" s="1164"/>
      <c r="AA186" s="548"/>
      <c r="AB186" s="1164"/>
      <c r="AC186" s="1164"/>
      <c r="AD186" s="1164"/>
      <c r="AE186" s="1164"/>
      <c r="AF186" s="1164"/>
      <c r="AG186" s="1636"/>
      <c r="AH186" s="570"/>
      <c r="AI186" s="570"/>
      <c r="AJ186" s="570"/>
      <c r="AK186" s="570"/>
      <c r="AL186" s="1645">
        <v>11</v>
      </c>
    </row>
    <row s="1645" customFormat="1" customHeight="1" ht="11.549999999999999">
      <c r="A187" s="991"/>
      <c r="B187" s="1640"/>
      <c r="C187" s="1640"/>
      <c r="D187" s="355"/>
      <c r="J187" s="1645"/>
      <c r="K187" s="1645"/>
      <c r="L187" s="1645"/>
      <c r="M187" s="1645"/>
      <c r="N187" s="1645"/>
      <c r="O187" s="1645"/>
      <c r="Q187" s="1164"/>
      <c r="R187" s="1640"/>
      <c r="S187" s="1640"/>
      <c r="T187" s="1164"/>
      <c r="U187" s="1164"/>
      <c r="V187" s="1164"/>
      <c r="W187" s="1164"/>
      <c r="X187" s="1640"/>
      <c r="Y187" s="1164"/>
      <c r="Z187" s="1164"/>
      <c r="AA187" s="548"/>
      <c r="AB187" s="1164"/>
      <c r="AC187" s="1164"/>
      <c r="AD187" s="1164"/>
      <c r="AE187" s="1164"/>
      <c r="AF187" s="1164"/>
      <c r="AG187" s="1636"/>
      <c r="AH187" s="570"/>
      <c r="AI187" s="570"/>
      <c r="AJ187" s="570"/>
      <c r="AK187" s="570"/>
      <c r="AL187" s="1645">
        <v>11</v>
      </c>
    </row>
    <row s="1645" customFormat="1" customHeight="1" ht="11.549999999999999">
      <c r="A188" s="991"/>
      <c r="B188" s="1640"/>
      <c r="C188" s="1640"/>
      <c r="D188" s="355"/>
      <c r="J188" s="1645"/>
      <c r="K188" s="1645"/>
      <c r="L188" s="1645"/>
      <c r="M188" s="1645"/>
      <c r="N188" s="1645"/>
      <c r="O188" s="1645"/>
      <c r="Q188" s="1164"/>
      <c r="R188" s="1640"/>
      <c r="S188" s="1640"/>
      <c r="T188" s="1164"/>
      <c r="U188" s="1164"/>
      <c r="V188" s="1164"/>
      <c r="W188" s="1164"/>
      <c r="X188" s="1640"/>
      <c r="Y188" s="1164"/>
      <c r="Z188" s="1164"/>
      <c r="AA188" s="548"/>
      <c r="AB188" s="1164"/>
      <c r="AC188" s="1164"/>
      <c r="AD188" s="1164"/>
      <c r="AE188" s="1164"/>
      <c r="AF188" s="1164"/>
      <c r="AG188" s="1636"/>
      <c r="AH188" s="570"/>
      <c r="AI188" s="570"/>
      <c r="AJ188" s="570"/>
      <c r="AK188" s="570"/>
      <c r="AL188" s="1645">
        <v>11</v>
      </c>
    </row>
    <row s="1645" customFormat="1" customHeight="1" ht="11.549999999999999">
      <c r="A189" s="991"/>
      <c r="B189" s="1640"/>
      <c r="C189" s="1640"/>
      <c r="D189" s="355"/>
      <c r="J189" s="1645"/>
      <c r="K189" s="1645"/>
      <c r="L189" s="1645"/>
      <c r="M189" s="1645"/>
      <c r="N189" s="1645"/>
      <c r="O189" s="1645"/>
      <c r="Q189" s="1164"/>
      <c r="R189" s="1640"/>
      <c r="S189" s="1640"/>
      <c r="T189" s="1164"/>
      <c r="U189" s="1164"/>
      <c r="V189" s="1164"/>
      <c r="W189" s="1164"/>
      <c r="X189" s="1640"/>
      <c r="Y189" s="1164"/>
      <c r="Z189" s="1164"/>
      <c r="AA189" s="548"/>
      <c r="AB189" s="1164"/>
      <c r="AC189" s="1164"/>
      <c r="AD189" s="1164"/>
      <c r="AE189" s="1164"/>
      <c r="AF189" s="1164"/>
      <c r="AG189" s="1636"/>
      <c r="AH189" s="570"/>
      <c r="AI189" s="570"/>
      <c r="AJ189" s="570"/>
      <c r="AK189" s="570"/>
      <c r="AL189" s="1645">
        <v>11</v>
      </c>
    </row>
    <row s="1645" customFormat="1" customHeight="1" ht="11.549999999999999">
      <c r="A190" s="991"/>
      <c r="B190" s="1640"/>
      <c r="C190" s="1640"/>
      <c r="D190" s="355"/>
      <c r="J190" s="1645"/>
      <c r="K190" s="1645"/>
      <c r="L190" s="1645"/>
      <c r="M190" s="1645"/>
      <c r="N190" s="1645"/>
      <c r="O190" s="1645"/>
      <c r="Q190" s="1164"/>
      <c r="R190" s="1640"/>
      <c r="S190" s="1640"/>
      <c r="T190" s="1164"/>
      <c r="U190" s="1164"/>
      <c r="V190" s="1164"/>
      <c r="W190" s="1164"/>
      <c r="X190" s="1640"/>
      <c r="Y190" s="1164"/>
      <c r="Z190" s="1164"/>
      <c r="AA190" s="548"/>
      <c r="AB190" s="1164"/>
      <c r="AC190" s="1164"/>
      <c r="AD190" s="1164"/>
      <c r="AE190" s="1164"/>
      <c r="AF190" s="1164"/>
      <c r="AG190" s="1636"/>
      <c r="AH190" s="570"/>
      <c r="AI190" s="570"/>
      <c r="AJ190" s="570"/>
      <c r="AK190" s="570"/>
      <c r="AL190" s="1645">
        <v>11</v>
      </c>
    </row>
    <row s="1645" customFormat="1" customHeight="1" ht="11.549999999999999">
      <c r="A191" s="991"/>
      <c r="B191" s="1640"/>
      <c r="C191" s="1640"/>
      <c r="D191" s="355"/>
      <c r="J191" s="1645"/>
      <c r="K191" s="1645"/>
      <c r="L191" s="1645"/>
      <c r="M191" s="1645"/>
      <c r="N191" s="1645"/>
      <c r="O191" s="1645"/>
      <c r="Q191" s="1164"/>
      <c r="R191" s="1640"/>
      <c r="S191" s="1640"/>
      <c r="T191" s="1164"/>
      <c r="U191" s="1164"/>
      <c r="V191" s="1164"/>
      <c r="W191" s="1164"/>
      <c r="X191" s="1640"/>
      <c r="Y191" s="1164"/>
      <c r="Z191" s="1164"/>
      <c r="AA191" s="548"/>
      <c r="AB191" s="1164"/>
      <c r="AC191" s="1164"/>
      <c r="AD191" s="1164"/>
      <c r="AE191" s="1164"/>
      <c r="AF191" s="1164"/>
      <c r="AG191" s="1636"/>
      <c r="AH191" s="570"/>
      <c r="AI191" s="570"/>
      <c r="AJ191" s="570"/>
      <c r="AK191" s="570"/>
      <c r="AL191" s="1645">
        <v>11</v>
      </c>
    </row>
    <row s="1645" customFormat="1" customHeight="1" ht="11.549999999999999">
      <c r="A192" s="991"/>
      <c r="B192" s="1640"/>
      <c r="C192" s="1640"/>
      <c r="D192" s="355"/>
      <c r="J192" s="1645"/>
      <c r="K192" s="1645"/>
      <c r="L192" s="1645"/>
      <c r="M192" s="1645"/>
      <c r="N192" s="1645"/>
      <c r="O192" s="1645"/>
      <c r="Q192" s="1164"/>
      <c r="R192" s="1640"/>
      <c r="S192" s="1640"/>
      <c r="T192" s="1164"/>
      <c r="U192" s="1164"/>
      <c r="V192" s="1164"/>
      <c r="W192" s="1164"/>
      <c r="X192" s="1640"/>
      <c r="Y192" s="1164"/>
      <c r="Z192" s="1164"/>
      <c r="AA192" s="548"/>
      <c r="AB192" s="1164"/>
      <c r="AC192" s="1164"/>
      <c r="AD192" s="1164"/>
      <c r="AE192" s="1164"/>
      <c r="AF192" s="1164"/>
      <c r="AG192" s="1636"/>
      <c r="AH192" s="570"/>
      <c r="AI192" s="570"/>
      <c r="AJ192" s="570"/>
      <c r="AK192" s="570"/>
      <c r="AL192" s="1645">
        <v>11</v>
      </c>
    </row>
    <row s="1645" customFormat="1" customHeight="1" ht="11.549999999999999">
      <c r="A193" s="991"/>
      <c r="B193" s="1640"/>
      <c r="C193" s="1640"/>
      <c r="D193" s="355"/>
      <c r="J193" s="1645"/>
      <c r="K193" s="1645"/>
      <c r="L193" s="1645"/>
      <c r="M193" s="1645"/>
      <c r="N193" s="1645"/>
      <c r="O193" s="1645"/>
      <c r="Q193" s="1164"/>
      <c r="R193" s="1640"/>
      <c r="S193" s="1640"/>
      <c r="T193" s="1164"/>
      <c r="U193" s="1164"/>
      <c r="V193" s="1164"/>
      <c r="W193" s="1164"/>
      <c r="X193" s="1640"/>
      <c r="Y193" s="1164"/>
      <c r="Z193" s="1164"/>
      <c r="AA193" s="548"/>
      <c r="AB193" s="1164"/>
      <c r="AC193" s="1164"/>
      <c r="AD193" s="1164"/>
      <c r="AE193" s="1164"/>
      <c r="AF193" s="1164"/>
      <c r="AG193" s="1636"/>
      <c r="AH193" s="570"/>
      <c r="AI193" s="570"/>
      <c r="AJ193" s="570"/>
      <c r="AK193" s="570"/>
      <c r="AL193" s="1645">
        <v>11</v>
      </c>
    </row>
    <row s="1645" customFormat="1" customHeight="1" ht="11.549999999999999">
      <c r="A194" s="991"/>
      <c r="B194" s="1640"/>
      <c r="C194" s="1640"/>
      <c r="D194" s="355"/>
      <c r="J194" s="1645"/>
      <c r="K194" s="1645"/>
      <c r="L194" s="1645"/>
      <c r="M194" s="1645"/>
      <c r="N194" s="1645"/>
      <c r="O194" s="1645"/>
      <c r="Q194" s="1164"/>
      <c r="R194" s="1640"/>
      <c r="S194" s="1640"/>
      <c r="T194" s="1164"/>
      <c r="U194" s="1164"/>
      <c r="V194" s="1164"/>
      <c r="W194" s="1164"/>
      <c r="X194" s="1640"/>
      <c r="Y194" s="1164"/>
      <c r="Z194" s="1164"/>
      <c r="AA194" s="548"/>
      <c r="AB194" s="1164"/>
      <c r="AC194" s="1164"/>
      <c r="AD194" s="1164"/>
      <c r="AE194" s="1164"/>
      <c r="AF194" s="1164"/>
      <c r="AG194" s="1636"/>
      <c r="AH194" s="570"/>
      <c r="AI194" s="570"/>
      <c r="AJ194" s="570"/>
      <c r="AK194" s="570"/>
      <c r="AL194" s="1645">
        <v>11</v>
      </c>
    </row>
    <row s="1645" customFormat="1" customHeight="1" ht="11.549999999999999">
      <c r="A195" s="991"/>
      <c r="B195" s="1640"/>
      <c r="C195" s="1640"/>
      <c r="D195" s="355"/>
      <c r="J195" s="1645"/>
      <c r="K195" s="1645"/>
      <c r="L195" s="1645"/>
      <c r="M195" s="1645"/>
      <c r="N195" s="1645"/>
      <c r="O195" s="1645"/>
      <c r="Q195" s="1164"/>
      <c r="R195" s="1640"/>
      <c r="S195" s="1640"/>
      <c r="T195" s="1164"/>
      <c r="U195" s="1164"/>
      <c r="V195" s="1164"/>
      <c r="W195" s="1164"/>
      <c r="X195" s="1640"/>
      <c r="Y195" s="1164"/>
      <c r="Z195" s="1164"/>
      <c r="AA195" s="548"/>
      <c r="AB195" s="1164"/>
      <c r="AC195" s="1164"/>
      <c r="AD195" s="1164"/>
      <c r="AE195" s="1164"/>
      <c r="AF195" s="1164"/>
      <c r="AG195" s="1636"/>
      <c r="AH195" s="570"/>
      <c r="AI195" s="570"/>
      <c r="AJ195" s="570"/>
      <c r="AK195" s="570"/>
      <c r="AL195" s="1645">
        <v>11</v>
      </c>
    </row>
    <row customHeight="1" ht="11.549999999999999">
      <c r="J196" s="1639"/>
      <c r="K196" s="1639"/>
      <c r="L196" s="1639"/>
      <c r="M196" s="1639"/>
      <c r="N196" s="1639"/>
      <c r="O196" s="1639"/>
      <c r="AL196" s="1635">
        <v>11</v>
      </c>
    </row>
    <row customHeight="1" ht="11.549999999999999">
      <c r="J197" s="1639"/>
      <c r="K197" s="1639"/>
      <c r="L197" s="1639"/>
      <c r="M197" s="1639"/>
      <c r="N197" s="1639"/>
      <c r="O197" s="1639"/>
      <c r="AL197" s="1635">
        <v>11</v>
      </c>
    </row>
    <row customHeight="1" ht="11.549999999999999">
      <c r="J198" s="1639"/>
      <c r="K198" s="1639"/>
      <c r="L198" s="1639"/>
      <c r="M198" s="1639"/>
      <c r="N198" s="1639"/>
      <c r="O198" s="1639"/>
      <c r="AL198" s="1635">
        <v>11</v>
      </c>
    </row>
    <row customHeight="1" ht="11.549999999999999">
      <c r="A199" s="994"/>
      <c r="B199" s="1635"/>
      <c r="D199" s="1635"/>
      <c r="J199" s="1639"/>
      <c r="K199" s="1639"/>
      <c r="L199" s="1639"/>
      <c r="M199" s="1639"/>
      <c r="N199" s="1639"/>
      <c r="O199" s="1639"/>
      <c r="Q199" s="1635"/>
      <c r="T199" s="1635"/>
      <c r="U199" s="1635"/>
      <c r="V199" s="1635"/>
      <c r="W199" s="1635"/>
      <c r="Y199" s="1635"/>
      <c r="Z199" s="1635"/>
      <c r="AA199" s="1635"/>
      <c r="AB199" s="1635"/>
      <c r="AC199" s="1635"/>
      <c r="AD199" s="1635"/>
      <c r="AE199" s="1635"/>
      <c r="AF199" s="1635"/>
      <c r="AG199" s="1635"/>
      <c r="AH199" s="1635"/>
      <c r="AI199" s="1635"/>
      <c r="AJ199" s="1635"/>
      <c r="AK199" s="1635"/>
      <c r="AL199" s="1635">
        <v>11</v>
      </c>
    </row>
    <row customHeight="1" ht="11.549999999999999">
      <c r="A200" s="994"/>
      <c r="B200" s="1635"/>
      <c r="D200" s="1635"/>
      <c r="J200" s="1639"/>
      <c r="K200" s="1639"/>
      <c r="L200" s="1639"/>
      <c r="M200" s="1639"/>
      <c r="N200" s="1639"/>
      <c r="O200" s="1639"/>
      <c r="Q200" s="1635"/>
      <c r="T200" s="1635"/>
      <c r="U200" s="1635"/>
      <c r="V200" s="1635"/>
      <c r="W200" s="1635"/>
      <c r="Y200" s="1635"/>
      <c r="Z200" s="1635"/>
      <c r="AA200" s="1635"/>
      <c r="AB200" s="1635"/>
      <c r="AC200" s="1635"/>
      <c r="AD200" s="1635"/>
      <c r="AE200" s="1635"/>
      <c r="AF200" s="1635"/>
      <c r="AG200" s="1635"/>
      <c r="AH200" s="1635"/>
      <c r="AI200" s="1635"/>
      <c r="AJ200" s="1635"/>
      <c r="AK200" s="1635"/>
      <c r="AL200" s="1635">
        <v>11</v>
      </c>
    </row>
    <row customHeight="1" ht="11.549999999999999">
      <c r="A201" s="994"/>
      <c r="B201" s="1635"/>
      <c r="D201" s="1635"/>
      <c r="J201" s="1639"/>
      <c r="K201" s="1639"/>
      <c r="L201" s="1639"/>
      <c r="M201" s="1639"/>
      <c r="N201" s="1639"/>
      <c r="O201" s="1639"/>
      <c r="Q201" s="1635"/>
      <c r="T201" s="1635"/>
      <c r="U201" s="1635"/>
      <c r="V201" s="1635"/>
      <c r="W201" s="1635"/>
      <c r="Y201" s="1635"/>
      <c r="Z201" s="1635"/>
      <c r="AA201" s="1635"/>
      <c r="AB201" s="1635"/>
      <c r="AC201" s="1635"/>
      <c r="AD201" s="1635"/>
      <c r="AE201" s="1635"/>
      <c r="AF201" s="1635"/>
      <c r="AG201" s="1635"/>
      <c r="AH201" s="1635"/>
      <c r="AI201" s="1635"/>
      <c r="AJ201" s="1635"/>
      <c r="AK201" s="1635"/>
      <c r="AL201" s="1635">
        <v>11</v>
      </c>
    </row>
    <row customHeight="1" ht="11.549999999999999">
      <c r="A202" s="994"/>
      <c r="B202" s="1635"/>
      <c r="D202" s="1635"/>
      <c r="J202" s="1639"/>
      <c r="K202" s="1639"/>
      <c r="L202" s="1639"/>
      <c r="M202" s="1639"/>
      <c r="N202" s="1639"/>
      <c r="O202" s="1639"/>
      <c r="Q202" s="1635"/>
      <c r="T202" s="1635"/>
      <c r="U202" s="1635"/>
      <c r="V202" s="1635"/>
      <c r="W202" s="1635"/>
      <c r="Y202" s="1635"/>
      <c r="Z202" s="1635"/>
      <c r="AA202" s="1635"/>
      <c r="AB202" s="1635"/>
      <c r="AC202" s="1635"/>
      <c r="AD202" s="1635"/>
      <c r="AE202" s="1635"/>
      <c r="AF202" s="1635"/>
      <c r="AG202" s="1635"/>
      <c r="AH202" s="1635"/>
      <c r="AI202" s="1635"/>
      <c r="AJ202" s="1635"/>
      <c r="AK202" s="1635"/>
      <c r="AL202" s="1635">
        <v>11</v>
      </c>
    </row>
    <row customHeight="1" ht="11.549999999999999">
      <c r="A203" s="994"/>
      <c r="B203" s="1635"/>
      <c r="D203" s="1635"/>
      <c r="J203" s="1639"/>
      <c r="K203" s="1639"/>
      <c r="L203" s="1639"/>
      <c r="M203" s="1639"/>
      <c r="N203" s="1639"/>
      <c r="O203" s="1639"/>
      <c r="Q203" s="1635"/>
      <c r="T203" s="1635"/>
      <c r="U203" s="1635"/>
      <c r="V203" s="1635"/>
      <c r="W203" s="1635"/>
      <c r="Y203" s="1635"/>
      <c r="Z203" s="1635"/>
      <c r="AA203" s="1635"/>
      <c r="AB203" s="1635"/>
      <c r="AC203" s="1635"/>
      <c r="AD203" s="1635"/>
      <c r="AE203" s="1635"/>
      <c r="AF203" s="1635"/>
      <c r="AG203" s="1635"/>
      <c r="AH203" s="1635"/>
      <c r="AI203" s="1635"/>
      <c r="AJ203" s="1635"/>
      <c r="AK203" s="1635"/>
      <c r="AL203" s="1635">
        <v>11</v>
      </c>
    </row>
    <row customHeight="1" ht="11.549999999999999">
      <c r="A204" s="994"/>
      <c r="B204" s="1635"/>
      <c r="D204" s="1635"/>
      <c r="J204" s="1639"/>
      <c r="K204" s="1639"/>
      <c r="L204" s="1639"/>
      <c r="M204" s="1639"/>
      <c r="N204" s="1639"/>
      <c r="O204" s="1639"/>
      <c r="Q204" s="1635"/>
      <c r="T204" s="1635"/>
      <c r="U204" s="1635"/>
      <c r="V204" s="1635"/>
      <c r="W204" s="1635"/>
      <c r="Y204" s="1635"/>
      <c r="Z204" s="1635"/>
      <c r="AA204" s="1635"/>
      <c r="AB204" s="1635"/>
      <c r="AC204" s="1635"/>
      <c r="AD204" s="1635"/>
      <c r="AE204" s="1635"/>
      <c r="AF204" s="1635"/>
      <c r="AG204" s="1635"/>
      <c r="AH204" s="1635"/>
      <c r="AI204" s="1635"/>
      <c r="AJ204" s="1635"/>
      <c r="AK204" s="1635"/>
      <c r="AL204" s="1635">
        <v>11</v>
      </c>
    </row>
    <row customHeight="1" ht="11.549999999999999">
      <c r="A205" s="994"/>
      <c r="B205" s="1635"/>
      <c r="D205" s="1635"/>
      <c r="J205" s="1639"/>
      <c r="K205" s="1639"/>
      <c r="L205" s="1639"/>
      <c r="M205" s="1639"/>
      <c r="N205" s="1639"/>
      <c r="O205" s="1639"/>
      <c r="Q205" s="1635"/>
      <c r="T205" s="1635"/>
      <c r="U205" s="1635"/>
      <c r="V205" s="1635"/>
      <c r="W205" s="1635"/>
      <c r="Y205" s="1635"/>
      <c r="Z205" s="1635"/>
      <c r="AA205" s="1635"/>
      <c r="AB205" s="1635"/>
      <c r="AC205" s="1635"/>
      <c r="AD205" s="1635"/>
      <c r="AE205" s="1635"/>
      <c r="AF205" s="1635"/>
      <c r="AG205" s="1635"/>
      <c r="AH205" s="1635"/>
      <c r="AI205" s="1635"/>
      <c r="AJ205" s="1635"/>
      <c r="AK205" s="1635"/>
      <c r="AL205" s="1635">
        <v>11</v>
      </c>
    </row>
    <row customHeight="1" ht="11.549999999999999">
      <c r="A206" s="994"/>
      <c r="B206" s="1635"/>
      <c r="D206" s="1635"/>
      <c r="J206" s="1639"/>
      <c r="K206" s="1639"/>
      <c r="L206" s="1639"/>
      <c r="M206" s="1639"/>
      <c r="N206" s="1639"/>
      <c r="O206" s="1639"/>
      <c r="Q206" s="1635"/>
      <c r="T206" s="1635"/>
      <c r="U206" s="1635"/>
      <c r="V206" s="1635"/>
      <c r="W206" s="1635"/>
      <c r="Y206" s="1635"/>
      <c r="Z206" s="1635"/>
      <c r="AA206" s="1635"/>
      <c r="AB206" s="1635"/>
      <c r="AC206" s="1635"/>
      <c r="AD206" s="1635"/>
      <c r="AE206" s="1635"/>
      <c r="AF206" s="1635"/>
      <c r="AG206" s="1635"/>
      <c r="AH206" s="1635"/>
      <c r="AI206" s="1635"/>
      <c r="AJ206" s="1635"/>
      <c r="AK206" s="1635"/>
      <c r="AL206" s="1635">
        <v>11</v>
      </c>
    </row>
    <row customHeight="1" ht="11.549999999999999">
      <c r="A207" s="994"/>
      <c r="B207" s="1635"/>
      <c r="D207" s="1635"/>
      <c r="J207" s="1639"/>
      <c r="K207" s="1639"/>
      <c r="L207" s="1639"/>
      <c r="M207" s="1639"/>
      <c r="N207" s="1639"/>
      <c r="O207" s="1639"/>
      <c r="Q207" s="1635"/>
      <c r="T207" s="1635"/>
      <c r="U207" s="1635"/>
      <c r="V207" s="1635"/>
      <c r="W207" s="1635"/>
      <c r="Y207" s="1635"/>
      <c r="Z207" s="1635"/>
      <c r="AA207" s="1635"/>
      <c r="AB207" s="1635"/>
      <c r="AC207" s="1635"/>
      <c r="AD207" s="1635"/>
      <c r="AE207" s="1635"/>
      <c r="AF207" s="1635"/>
      <c r="AG207" s="1635"/>
      <c r="AH207" s="1635"/>
      <c r="AI207" s="1635"/>
      <c r="AJ207" s="1635"/>
      <c r="AK207" s="1635"/>
      <c r="AL207" s="1635">
        <v>11</v>
      </c>
    </row>
    <row customHeight="1" ht="11.549999999999999">
      <c r="A208" s="994"/>
      <c r="B208" s="1635"/>
      <c r="D208" s="1635"/>
      <c r="J208" s="1639"/>
      <c r="K208" s="1639"/>
      <c r="L208" s="1639"/>
      <c r="M208" s="1639"/>
      <c r="N208" s="1639"/>
      <c r="O208" s="1639"/>
      <c r="Q208" s="1635"/>
      <c r="T208" s="1635"/>
      <c r="U208" s="1635"/>
      <c r="V208" s="1635"/>
      <c r="W208" s="1635"/>
      <c r="Y208" s="1635"/>
      <c r="Z208" s="1635"/>
      <c r="AA208" s="1635"/>
      <c r="AB208" s="1635"/>
      <c r="AC208" s="1635"/>
      <c r="AD208" s="1635"/>
      <c r="AE208" s="1635"/>
      <c r="AF208" s="1635"/>
      <c r="AG208" s="1635"/>
      <c r="AH208" s="1635"/>
      <c r="AI208" s="1635"/>
      <c r="AJ208" s="1635"/>
      <c r="AK208" s="1635"/>
      <c r="AL208" s="1635">
        <v>11</v>
      </c>
    </row>
    <row customHeight="1" ht="11.549999999999999">
      <c r="A209" s="994"/>
      <c r="B209" s="1635"/>
      <c r="D209" s="1635"/>
      <c r="J209" s="1639"/>
      <c r="K209" s="1639"/>
      <c r="L209" s="1639"/>
      <c r="M209" s="1639"/>
      <c r="N209" s="1639"/>
      <c r="O209" s="1639"/>
      <c r="Q209" s="1635"/>
      <c r="T209" s="1635"/>
      <c r="U209" s="1635"/>
      <c r="V209" s="1635"/>
      <c r="W209" s="1635"/>
      <c r="Y209" s="1635"/>
      <c r="Z209" s="1635"/>
      <c r="AA209" s="1635"/>
      <c r="AB209" s="1635"/>
      <c r="AC209" s="1635"/>
      <c r="AD209" s="1635"/>
      <c r="AE209" s="1635"/>
      <c r="AF209" s="1635"/>
      <c r="AG209" s="1635"/>
      <c r="AH209" s="1635"/>
      <c r="AI209" s="1635"/>
      <c r="AJ209" s="1635"/>
      <c r="AK209" s="1635"/>
      <c r="AL209" s="1635">
        <v>11</v>
      </c>
    </row>
    <row customHeight="1" ht="11.25" hidden="1">
      <c r="A210" s="991" t="s">
        <v>82</v>
      </c>
      <c r="B210" s="1164">
        <v>0</v>
      </c>
      <c r="C210" s="1640">
        <v>0</v>
      </c>
      <c r="D210" s="1639">
        <v>3</v>
      </c>
      <c r="E210" s="1635">
        <v>7</v>
      </c>
      <c r="F210" s="1635">
        <v>54</v>
      </c>
      <c r="G210" s="1635">
        <v>10</v>
      </c>
      <c r="H210" s="1635">
        <v>0</v>
      </c>
      <c r="I210" s="1635">
        <v>40</v>
      </c>
      <c r="J210" s="1639">
        <v>0</v>
      </c>
      <c r="K210" s="1639">
        <v>0</v>
      </c>
      <c r="L210" s="1639">
        <v>0</v>
      </c>
      <c r="M210" s="1639">
        <v>0</v>
      </c>
      <c r="N210" s="1639">
        <v>0</v>
      </c>
      <c r="O210" s="1639">
        <v>0</v>
      </c>
      <c r="P210" s="1635">
        <v>102</v>
      </c>
      <c r="Q210" s="1164">
        <v>9</v>
      </c>
      <c r="R210" s="1640">
        <v>5</v>
      </c>
      <c r="S210" s="1640">
        <v>3</v>
      </c>
      <c r="T210" s="1164">
        <v>3</v>
      </c>
      <c r="U210" s="1164">
        <v>3</v>
      </c>
      <c r="V210" s="1164">
        <v>3</v>
      </c>
      <c r="W210" s="1164">
        <v>3</v>
      </c>
      <c r="X210" s="1640">
        <v>10</v>
      </c>
      <c r="Y210" s="1164">
        <v>34</v>
      </c>
      <c r="Z210" s="1164">
        <v>9</v>
      </c>
      <c r="AA210" s="548">
        <v>8</v>
      </c>
      <c r="AB210" s="1164">
        <v>8</v>
      </c>
      <c r="AC210" s="1164">
        <v>8</v>
      </c>
      <c r="AD210" s="1164">
        <v>8</v>
      </c>
      <c r="AE210" s="1164">
        <v>8</v>
      </c>
      <c r="AF210" s="1164">
        <v>8</v>
      </c>
      <c r="AG210" s="1636">
        <v>8</v>
      </c>
      <c r="AH210" s="1636">
        <v>8</v>
      </c>
      <c r="AI210" s="1636">
        <v>8</v>
      </c>
      <c r="AJ210" s="1636">
        <v>8</v>
      </c>
      <c r="AK210" s="1636">
        <v>8</v>
      </c>
      <c r="AL210" s="1635">
        <v>11</v>
      </c>
    </row>
  </sheetData>
  <sheetProtection formatColumns="0" formatRows="0" autoFilter="0" sort="0" insertRows="0" insertColumns="1" deleteRows="0" deleteColumns="0"/>
  <mergeCells count="9">
    <mergeCell ref="F40:G40"/>
    <mergeCell ref="E6:I6"/>
    <mergeCell ref="E7:I7"/>
    <mergeCell ref="F10:G10"/>
    <mergeCell ref="P10:P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O28">
      <formula1>900</formula1>
    </dataValidation>
    <dataValidation type="decimal" allowBlank="1" showErrorMessage="1" errorTitle="Ошибка" error="Допускается ввод только неотрицательных чисел!" sqref="H31:O31 H2:O2 H15:O15 H17:O27 H36:O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O35">
      <formula1>900</formula1>
    </dataValidation>
    <dataValidation type="decimal" allowBlank="1" showErrorMessage="1" errorTitle="Ошибка" error="Допускается ввод только действительных чисел!" sqref="H30:O30">
      <formula1>-9.99999999999999E+23</formula1>
      <formula2>9.99999999999999E+23</formula2>
    </dataValidation>
    <dataValidation type="decimal" allowBlank="1" showErrorMessage="1" errorTitle="Ошибка" error="Допускается ввод только действительных чисел!" sqref="H32:O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7F8644-063D-2CDF-B4E1-.1EF1C5D3DD4}" mc:Ignorable="x14ac xr xr2 xr3">
  <sheetPr>
    <tabColor theme="9" tint="-0.25"/>
  </sheetPr>
  <dimension ref="A1:AJ102"/>
  <sheetViews>
    <sheetView showGridLines="0" zoomScale="90" workbookViewId="0">
      <pane xSplit="8" ySplit="11" topLeftCell="I12" activePane="bottomRight" state="frozen"/>
      <selection pane="bottomLeft" activeCell="A12" sqref="A12"/>
      <selection pane="topRight" activeCell="I1" sqref="I1"/>
      <selection pane="bottomRight" activeCell="L17" sqref="L17"/>
    </sheetView>
  </sheetViews>
  <sheetFormatPr defaultColWidth="10.57421875" customHeight="1" defaultRowHeight="11.25"/>
  <cols>
    <col min="1" max="1" style="1170" width="9.140625" hidden="1" customWidth="1"/>
    <col min="2" max="2" style="1646" width="3.57421875" hidden="1" customWidth="1"/>
    <col min="3" max="3" style="1639" width="3.00390625" customWidth="1"/>
    <col min="4" max="4" style="1639" width="7.00390625" customWidth="1"/>
    <col min="5" max="5" style="1639" width="69.00390625" customWidth="1"/>
    <col min="6" max="6" style="1639" width="10.00390625" customWidth="1"/>
    <col min="7" max="8" style="1639" width="44.00390625" hidden="1" customWidth="1"/>
    <col min="9" max="10" style="1639" width="13.4921875" customWidth="1"/>
    <col min="11" max="22" style="1639" width="16.28125" customWidth="1"/>
    <col min="23" max="23" style="1639" width="73.00390625" customWidth="1"/>
    <col min="24" max="24" style="1639" width="3.00390625" customWidth="1"/>
    <col min="25" max="35" style="1639" width="10.00390625" customWidth="1"/>
    <col min="36" max="36" style="1639" width="10.57421875" hidden="1"/>
  </cols>
  <sheetData>
    <row s="1370" customFormat="1" customHeight="1" ht="22.5" hidden="1">
      <c r="A1" s="540"/>
      <c r="B1" s="515"/>
      <c r="G1" s="421">
        <v>4</v>
      </c>
      <c r="I1" s="421">
        <v>4</v>
      </c>
      <c r="K1" s="1370" t="s">
        <v>90</v>
      </c>
      <c r="L1" s="1370"/>
      <c r="M1" s="1370">
        <v>4</v>
      </c>
      <c r="N1" s="1370"/>
      <c r="O1" s="1370">
        <v>4</v>
      </c>
      <c r="P1" s="1370"/>
      <c r="Q1" s="1370">
        <v>4</v>
      </c>
      <c r="R1" s="1370"/>
      <c r="S1" s="1370">
        <v>4</v>
      </c>
      <c r="T1" s="1370"/>
      <c r="U1" s="1370">
        <v>4</v>
      </c>
      <c r="V1" s="1370"/>
      <c r="W1" s="421" t="s">
        <v>103</v>
      </c>
      <c r="AJ1" s="421" t="s">
        <v>14</v>
      </c>
    </row>
    <row customHeight="1" ht="3">
      <c r="K2" s="1639"/>
      <c r="L2" s="1639"/>
      <c r="M2" s="1639"/>
      <c r="N2" s="1639"/>
      <c r="O2" s="1639"/>
      <c r="P2" s="1639"/>
      <c r="Q2" s="1639"/>
      <c r="R2" s="1639"/>
      <c r="S2" s="1639"/>
      <c r="T2" s="1639"/>
      <c r="U2" s="1639"/>
      <c r="V2" s="1639"/>
      <c r="AJ2" s="509">
        <v>3</v>
      </c>
    </row>
    <row customHeight="1" ht="78.75">
      <c r="D3"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3"/>
      <c r="F3" s="2244"/>
      <c r="K3" s="1639"/>
      <c r="L3" s="1639"/>
      <c r="M3" s="1639"/>
      <c r="N3" s="1639"/>
      <c r="O3" s="1639"/>
      <c r="P3" s="1639"/>
      <c r="Q3" s="1639"/>
      <c r="R3" s="1639"/>
      <c r="S3" s="1639"/>
      <c r="T3" s="1639"/>
      <c r="U3" s="1639"/>
      <c r="V3" s="1639"/>
      <c r="AJ3" s="509">
        <v>75</v>
      </c>
    </row>
    <row s="1639" customFormat="1" customHeight="1" ht="21">
      <c r="A4" s="955"/>
      <c r="B4" s="515"/>
      <c r="D4" s="2218" t="str">
        <f>IF(org=0,"Не определено",org)</f>
        <v>АО "Теплоэнерго"</v>
      </c>
      <c r="E4" s="2219"/>
      <c r="F4" s="2220"/>
      <c r="K4" s="1639"/>
      <c r="L4" s="1639"/>
      <c r="M4" s="1639"/>
      <c r="N4" s="1639"/>
      <c r="O4" s="1639"/>
      <c r="P4" s="1639"/>
      <c r="Q4" s="1639"/>
      <c r="R4" s="1639"/>
      <c r="S4" s="1639"/>
      <c r="T4" s="1639"/>
      <c r="U4" s="1639"/>
      <c r="V4" s="1639"/>
      <c r="AJ4" s="762">
        <v>20</v>
      </c>
    </row>
    <row customHeight="1" ht="11.549999999999999">
      <c r="C5" s="513"/>
      <c r="D5" s="592"/>
      <c r="E5" s="592"/>
      <c r="F5" s="592"/>
      <c r="G5" s="592"/>
      <c r="H5" s="756"/>
      <c r="I5" s="592"/>
      <c r="J5" s="756"/>
      <c r="K5" s="1639"/>
      <c r="L5" s="756"/>
      <c r="M5" s="1639"/>
      <c r="N5" s="756"/>
      <c r="O5" s="1639"/>
      <c r="P5" s="756"/>
      <c r="Q5" s="1639"/>
      <c r="R5" s="756"/>
      <c r="S5" s="1639"/>
      <c r="T5" s="756"/>
      <c r="U5" s="1639"/>
      <c r="V5" s="756"/>
      <c r="W5" s="592"/>
      <c r="AJ5" s="509">
        <v>11</v>
      </c>
    </row>
    <row customHeight="1" ht="1.05">
      <c r="C6" s="513"/>
      <c r="D6" s="513"/>
      <c r="E6" s="526"/>
      <c r="F6" s="618"/>
      <c r="G6" s="1026"/>
      <c r="H6" s="1026"/>
      <c r="I6" s="1026" t="s">
        <v>126</v>
      </c>
      <c r="J6" s="1026"/>
      <c r="K6" s="1026" t="s">
        <v>130</v>
      </c>
      <c r="L6" s="1026"/>
      <c r="M6" s="1026" t="s">
        <v>132</v>
      </c>
      <c r="N6" s="1026"/>
      <c r="O6" s="1026" t="s">
        <v>134</v>
      </c>
      <c r="P6" s="1026"/>
      <c r="Q6" s="1026" t="s">
        <v>137</v>
      </c>
      <c r="R6" s="1026"/>
      <c r="S6" s="1026" t="s">
        <v>136</v>
      </c>
      <c r="T6" s="1026"/>
      <c r="U6" s="1026" t="s">
        <v>139</v>
      </c>
      <c r="V6" s="1026"/>
      <c r="AJ6" s="509">
        <v>1</v>
      </c>
    </row>
    <row customHeight="1" ht="59.25">
      <c r="D7" s="715"/>
      <c r="E7" s="2371" t="s">
        <v>115</v>
      </c>
      <c r="F7" s="2372"/>
      <c r="G7" s="2397" t="str">
        <f>IF(G6="","",INDEX(DIFFERENTIATION_UNMERGE_VD,MATCH(G6,DIFFERENTIATION_ID_DIFF,0)))</f>
        <v/>
      </c>
      <c r="H7" s="2398"/>
      <c r="I7" s="2397"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398"/>
      <c r="K7" s="2397" t="str">
        <f>IF(K6="","",INDEX(DIFFERENTIATION_UNMERGE_VD,MATCH(K6,DIFFERENTIATION_ID_DIFF,0)))</f>
        <v>Производство тепловой энергии. Некомбинированная выработка; Передача. Тепловая энергия; Сбыт. Тепловая энергия</v>
      </c>
      <c r="L7" s="2398"/>
      <c r="M7" s="2397" t="str">
        <f>IF(M6="","",INDEX(DIFFERENTIATION_UNMERGE_VD,MATCH(M6,DIFFERENTIATION_ID_DIFF,0)))</f>
        <v>Производство тепловой энергии. Некомбинированная выработка; Передача. Тепловая энергия</v>
      </c>
      <c r="N7" s="2398"/>
      <c r="O7" s="2397" t="str">
        <f>IF(O6="","",INDEX(DIFFERENTIATION_UNMERGE_VD,MATCH(O6,DIFFERENTIATION_ID_DIFF,0)))</f>
        <v>Производство. Теплоноситель</v>
      </c>
      <c r="P7" s="2398"/>
      <c r="Q7" s="2397" t="str">
        <f>IF(Q6="","",INDEX(DIFFERENTIATION_UNMERGE_VD,MATCH(Q6,DIFFERENTIATION_ID_DIFF,0)))</f>
        <v>Подключение (технологическое присоединение) к системе теплоснабжения</v>
      </c>
      <c r="R7" s="2398"/>
      <c r="S7" s="2397" t="str">
        <f>IF(S6="","",INDEX(DIFFERENTIATION_UNMERGE_VD,MATCH(S6,DIFFERENTIATION_ID_DIFF,0)))</f>
        <v>Производство. Теплоноситель</v>
      </c>
      <c r="T7" s="2398"/>
      <c r="U7" s="2397" t="str">
        <f>IF(U6="","",INDEX(DIFFERENTIATION_UNMERGE_VD,MATCH(U6,DIFFERENTIATION_ID_DIFF,0)))</f>
        <v>Поддержание резервной тепловой мощности при отсутствии потребления тепловой энергии</v>
      </c>
      <c r="V7" s="2398"/>
      <c r="W7" s="2179"/>
      <c r="X7" s="513"/>
      <c r="AJ7" s="509">
        <v>11</v>
      </c>
    </row>
    <row customHeight="1" ht="11.549999999999999">
      <c r="A8" s="708"/>
      <c r="D8" s="715"/>
      <c r="E8" s="2371" t="s">
        <v>582</v>
      </c>
      <c r="F8" s="2372"/>
      <c r="G8" s="2397" t="str">
        <f>IF(G6="","",INDEX(DIFFERENTIATION_UNMERGE_AREA,MATCH(G6,DIFFERENTIATION_ID_DIFF,0)))</f>
        <v/>
      </c>
      <c r="H8" s="2398"/>
      <c r="I8" s="2397" t="str">
        <f>IF(I6="","",INDEX(DIFFERENTIATION_UNMERGE_AREA,MATCH(I6,DIFFERENTIATION_ID_DIFF,0)))</f>
        <v>Территория 1</v>
      </c>
      <c r="J8" s="2398"/>
      <c r="K8" s="2397" t="str">
        <f>IF(K6="","",INDEX(DIFFERENTIATION_UNMERGE_AREA,MATCH(K6,DIFFERENTIATION_ID_DIFF,0)))</f>
        <v>Территория 3</v>
      </c>
      <c r="L8" s="2398"/>
      <c r="M8" s="2397" t="str">
        <f>IF(M6="","",INDEX(DIFFERENTIATION_UNMERGE_AREA,MATCH(M6,DIFFERENTIATION_ID_DIFF,0)))</f>
        <v>Территория 2</v>
      </c>
      <c r="N8" s="2398"/>
      <c r="O8" s="2397" t="str">
        <f>IF(O6="","",INDEX(DIFFERENTIATION_UNMERGE_AREA,MATCH(O6,DIFFERENTIATION_ID_DIFF,0)))</f>
        <v>Территория 1</v>
      </c>
      <c r="P8" s="2398"/>
      <c r="Q8" s="2397" t="str">
        <f>IF(Q6="","",INDEX(DIFFERENTIATION_UNMERGE_AREA,MATCH(Q6,DIFFERENTIATION_ID_DIFF,0)))</f>
        <v>Территория 1</v>
      </c>
      <c r="R8" s="2398"/>
      <c r="S8" s="2397" t="str">
        <f>IF(S6="","",INDEX(DIFFERENTIATION_UNMERGE_AREA,MATCH(S6,DIFFERENTIATION_ID_DIFF,0)))</f>
        <v>Территория 2</v>
      </c>
      <c r="T8" s="2398"/>
      <c r="U8" s="2397" t="str">
        <f>IF(U6="","",INDEX(DIFFERENTIATION_UNMERGE_AREA,MATCH(U6,DIFFERENTIATION_ID_DIFF,0)))</f>
        <v>Территория 1</v>
      </c>
      <c r="V8" s="2398"/>
      <c r="W8" s="2203"/>
      <c r="X8" s="513"/>
      <c r="AJ8" s="509">
        <v>11</v>
      </c>
    </row>
    <row customHeight="1" ht="11.549999999999999">
      <c r="A9" s="708"/>
      <c r="D9" s="715"/>
      <c r="E9" s="2371" t="s">
        <v>583</v>
      </c>
      <c r="F9" s="2372"/>
      <c r="G9" s="2397" t="str">
        <f>IF(G6="","",INDEX(DIFFERENTIATION_UNMERGE_SYSTEM,MATCH(G6,DIFFERENTIATION_ID_DIFF,0)))</f>
        <v/>
      </c>
      <c r="H9" s="2398"/>
      <c r="I9" s="2397" t="str">
        <f>IF(I6="","",INDEX(DIFFERENTIATION_UNMERGE_SYSTEM,MATCH(I6,DIFFERENTIATION_ID_DIFF,0)))</f>
        <v>без дифференциации</v>
      </c>
      <c r="J9" s="2398"/>
      <c r="K9" s="2397" t="str">
        <f>IF(K6="","",INDEX(DIFFERENTIATION_UNMERGE_SYSTEM,MATCH(K6,DIFFERENTIATION_ID_DIFF,0)))</f>
        <v>без дифференциации</v>
      </c>
      <c r="L9" s="2398"/>
      <c r="M9" s="2397" t="str">
        <f>IF(M6="","",INDEX(DIFFERENTIATION_UNMERGE_SYSTEM,MATCH(M6,DIFFERENTIATION_ID_DIFF,0)))</f>
        <v>без дифференциации</v>
      </c>
      <c r="N9" s="2398"/>
      <c r="O9" s="2397" t="str">
        <f>IF(O6="","",INDEX(DIFFERENTIATION_UNMERGE_SYSTEM,MATCH(O6,DIFFERENTIATION_ID_DIFF,0)))</f>
        <v>без дифференциации</v>
      </c>
      <c r="P9" s="2398"/>
      <c r="Q9" s="2397" t="str">
        <f>IF(Q6="","",INDEX(DIFFERENTIATION_UNMERGE_SYSTEM,MATCH(Q6,DIFFERENTIATION_ID_DIFF,0)))</f>
        <v>без дифференциации</v>
      </c>
      <c r="R9" s="2398"/>
      <c r="S9" s="2397" t="str">
        <f>IF(S6="","",INDEX(DIFFERENTIATION_UNMERGE_SYSTEM,MATCH(S6,DIFFERENTIATION_ID_DIFF,0)))</f>
        <v>без дифференциации</v>
      </c>
      <c r="T9" s="2398"/>
      <c r="U9" s="2397" t="str">
        <f>IF(U6="","",INDEX(DIFFERENTIATION_UNMERGE_SYSTEM,MATCH(U6,DIFFERENTIATION_ID_DIFF,0)))</f>
        <v>без дифференциации</v>
      </c>
      <c r="V9" s="2398"/>
      <c r="W9" s="2203"/>
      <c r="X9" s="513"/>
      <c r="AJ9" s="509">
        <v>11</v>
      </c>
    </row>
    <row s="1639" customFormat="1" customHeight="1" ht="11.549999999999999">
      <c r="A10" s="1025"/>
      <c r="B10" s="515"/>
      <c r="D10" s="2105" t="s">
        <v>318</v>
      </c>
      <c r="E10" s="2106"/>
      <c r="F10" s="2106"/>
      <c r="G10" s="2106"/>
      <c r="H10" s="2106"/>
      <c r="I10" s="2106"/>
      <c r="J10" s="2107"/>
      <c r="K10" s="2273"/>
      <c r="L10" s="2273"/>
      <c r="M10" s="2273"/>
      <c r="N10" s="2273"/>
      <c r="O10" s="2273"/>
      <c r="P10" s="2273"/>
      <c r="Q10" s="2273"/>
      <c r="R10" s="2273"/>
      <c r="S10" s="2273"/>
      <c r="T10" s="2273"/>
      <c r="U10" s="2273"/>
      <c r="V10" s="2273"/>
      <c r="W10" s="2203"/>
      <c r="X10" s="513"/>
      <c r="AJ10" s="762">
        <v>11</v>
      </c>
    </row>
    <row s="1639" customFormat="1" customHeight="1" ht="24">
      <c r="A11" s="2389"/>
      <c r="B11" s="2389"/>
      <c r="C11" s="661"/>
      <c r="D11" s="707" t="s">
        <v>88</v>
      </c>
      <c r="E11" s="709" t="s">
        <v>1067</v>
      </c>
      <c r="F11" s="709" t="s">
        <v>584</v>
      </c>
      <c r="G11" s="469" t="s">
        <v>321</v>
      </c>
      <c r="H11" s="469" t="s">
        <v>408</v>
      </c>
      <c r="I11" s="811" t="s">
        <v>321</v>
      </c>
      <c r="J11" s="812" t="s">
        <v>408</v>
      </c>
      <c r="K11" s="2370" t="s">
        <v>321</v>
      </c>
      <c r="L11" s="2370" t="s">
        <v>408</v>
      </c>
      <c r="M11" s="2370" t="s">
        <v>321</v>
      </c>
      <c r="N11" s="2370" t="s">
        <v>408</v>
      </c>
      <c r="O11" s="2370" t="s">
        <v>321</v>
      </c>
      <c r="P11" s="2370" t="s">
        <v>408</v>
      </c>
      <c r="Q11" s="2370" t="s">
        <v>321</v>
      </c>
      <c r="R11" s="2370" t="s">
        <v>408</v>
      </c>
      <c r="S11" s="2370" t="s">
        <v>321</v>
      </c>
      <c r="T11" s="2370" t="s">
        <v>408</v>
      </c>
      <c r="U11" s="2370" t="s">
        <v>321</v>
      </c>
      <c r="V11" s="2370" t="s">
        <v>408</v>
      </c>
      <c r="W11" s="2236"/>
      <c r="X11" s="662"/>
      <c r="AJ11" s="513">
        <v>23</v>
      </c>
    </row>
    <row s="1646" customFormat="1" customHeight="1" ht="10.5">
      <c r="A12" s="956"/>
      <c r="D12" s="1029" t="s">
        <v>119</v>
      </c>
      <c r="E12" s="1029" t="s">
        <v>103</v>
      </c>
      <c r="F12" s="1029" t="s">
        <v>90</v>
      </c>
      <c r="G12" s="1030" t="str">
        <f>G1&amp;".1"</f>
        <v>4.1</v>
      </c>
      <c r="H12" s="1030" t="str">
        <f>G1&amp;".2"</f>
        <v>4.2</v>
      </c>
      <c r="I12" s="1030" t="str">
        <f>I1&amp;".1"</f>
        <v>4.1</v>
      </c>
      <c r="J12" s="1030" t="str">
        <f>I1&amp;".2"</f>
        <v>4.2</v>
      </c>
      <c r="K12" s="2378" t="str">
        <f>K1&amp;".1"</f>
        <v>3.1</v>
      </c>
      <c r="L12" s="2378" t="str">
        <f>K1&amp;".2"</f>
        <v>3.2</v>
      </c>
      <c r="M12" s="2378" t="str">
        <f>M1&amp;".1"</f>
        <v>4.1</v>
      </c>
      <c r="N12" s="2378" t="str">
        <f>M1&amp;".2"</f>
        <v>4.2</v>
      </c>
      <c r="O12" s="2378" t="str">
        <f>O1&amp;".1"</f>
        <v>4.1</v>
      </c>
      <c r="P12" s="2378" t="str">
        <f>O1&amp;".2"</f>
        <v>4.2</v>
      </c>
      <c r="Q12" s="2378" t="str">
        <f>Q1&amp;".1"</f>
        <v>4.1</v>
      </c>
      <c r="R12" s="2378" t="str">
        <f>Q1&amp;".2"</f>
        <v>4.2</v>
      </c>
      <c r="S12" s="2378" t="str">
        <f>S1&amp;".1"</f>
        <v>4.1</v>
      </c>
      <c r="T12" s="2378" t="str">
        <f>S1&amp;".2"</f>
        <v>4.2</v>
      </c>
      <c r="U12" s="2378" t="str">
        <f>U1&amp;".1"</f>
        <v>4.1</v>
      </c>
      <c r="V12" s="2378" t="str">
        <f>U1&amp;".2"</f>
        <v>4.2</v>
      </c>
      <c r="W12" s="1030"/>
      <c r="AJ12" s="515">
        <v>10</v>
      </c>
    </row>
    <row customHeight="1" ht="22.5">
      <c r="A13" s="2396" t="s">
        <v>1068</v>
      </c>
      <c r="D13" s="957" t="s">
        <v>119</v>
      </c>
      <c r="E13" s="283" t="s">
        <v>1069</v>
      </c>
      <c r="F13" s="664" t="s">
        <v>1070</v>
      </c>
      <c r="G13" s="561"/>
      <c r="H13" s="665"/>
      <c r="I13" s="561">
        <v>1.179</v>
      </c>
      <c r="J13" s="665"/>
      <c r="K13" s="561">
        <v>0</v>
      </c>
      <c r="L13" s="666"/>
      <c r="M13" s="561">
        <v>0</v>
      </c>
      <c r="N13" s="666"/>
      <c r="O13" s="561">
        <v>1.179</v>
      </c>
      <c r="P13" s="666"/>
      <c r="Q13" s="561">
        <v>1.179</v>
      </c>
      <c r="R13" s="666"/>
      <c r="S13" s="561">
        <v>0</v>
      </c>
      <c r="T13" s="666"/>
      <c r="U13" s="561">
        <v>1.179</v>
      </c>
      <c r="V13" s="666"/>
      <c r="W13" s="293" t="s">
        <v>1071</v>
      </c>
      <c r="X13" s="724"/>
      <c r="AJ13" s="509">
        <v>0</v>
      </c>
    </row>
    <row customHeight="1" ht="22.5">
      <c r="A14" s="2396"/>
      <c r="D14" s="543" t="s">
        <v>103</v>
      </c>
      <c r="E14" s="283" t="s">
        <v>1072</v>
      </c>
      <c r="F14" s="664" t="s">
        <v>1073</v>
      </c>
      <c r="G14" s="561"/>
      <c r="H14" s="666"/>
      <c r="I14" s="561">
        <v>0.017</v>
      </c>
      <c r="J14" s="666"/>
      <c r="K14" s="561">
        <v>0</v>
      </c>
      <c r="L14" s="666"/>
      <c r="M14" s="561">
        <v>0</v>
      </c>
      <c r="N14" s="666"/>
      <c r="O14" s="561">
        <v>0.017</v>
      </c>
      <c r="P14" s="666"/>
      <c r="Q14" s="561">
        <v>0.017</v>
      </c>
      <c r="R14" s="666"/>
      <c r="S14" s="561">
        <v>0</v>
      </c>
      <c r="T14" s="666"/>
      <c r="U14" s="561">
        <v>0.017</v>
      </c>
      <c r="V14" s="666"/>
      <c r="W14" s="293" t="s">
        <v>1074</v>
      </c>
      <c r="X14" s="724"/>
      <c r="AJ14" s="509">
        <v>0</v>
      </c>
    </row>
    <row s="1639" customFormat="1" customHeight="1" ht="78.75">
      <c r="A15" s="2396"/>
      <c r="B15" s="515"/>
      <c r="D15" s="957" t="s">
        <v>90</v>
      </c>
      <c r="E15" s="711" t="s">
        <v>1075</v>
      </c>
      <c r="F15" s="954" t="s">
        <v>324</v>
      </c>
      <c r="G15" s="954" t="s">
        <v>324</v>
      </c>
      <c r="H15" s="110"/>
      <c r="I15" s="954" t="s">
        <v>324</v>
      </c>
      <c r="J15" s="110"/>
      <c r="K15" s="2370" t="s">
        <v>324</v>
      </c>
      <c r="L15" s="2505"/>
      <c r="M15" s="2370" t="s">
        <v>324</v>
      </c>
      <c r="N15" s="2505"/>
      <c r="O15" s="2370" t="s">
        <v>324</v>
      </c>
      <c r="P15" s="2505"/>
      <c r="Q15" s="2370" t="s">
        <v>324</v>
      </c>
      <c r="R15" s="2505"/>
      <c r="S15" s="2370" t="s">
        <v>324</v>
      </c>
      <c r="T15" s="2505"/>
      <c r="U15" s="2370" t="s">
        <v>324</v>
      </c>
      <c r="V15" s="2505"/>
      <c r="W15" s="293" t="s">
        <v>1076</v>
      </c>
      <c r="X15" s="724"/>
      <c r="AJ15" s="762">
        <v>0</v>
      </c>
    </row>
    <row s="1639" customFormat="1" customHeight="1" ht="22.5">
      <c r="A16" s="2396"/>
      <c r="B16" s="515"/>
      <c r="D16" s="957" t="s">
        <v>342</v>
      </c>
      <c r="E16" s="958" t="s">
        <v>1077</v>
      </c>
      <c r="F16" s="954" t="s">
        <v>1078</v>
      </c>
      <c r="G16" s="821"/>
      <c r="H16" s="110"/>
      <c r="I16" s="821">
        <v>203</v>
      </c>
      <c r="J16" s="110"/>
      <c r="K16" s="821"/>
      <c r="L16" s="2505"/>
      <c r="M16" s="821"/>
      <c r="N16" s="2505"/>
      <c r="O16" s="821"/>
      <c r="P16" s="2505"/>
      <c r="Q16" s="821"/>
      <c r="R16" s="2505"/>
      <c r="S16" s="821"/>
      <c r="T16" s="2505"/>
      <c r="U16" s="821"/>
      <c r="V16" s="2505"/>
      <c r="W16" s="293"/>
      <c r="X16" s="724"/>
      <c r="AJ16" s="762">
        <v>0</v>
      </c>
    </row>
    <row s="1639" customFormat="1" customHeight="1" ht="22.5">
      <c r="A17" s="2396"/>
      <c r="B17" s="515"/>
      <c r="D17" s="957" t="s">
        <v>350</v>
      </c>
      <c r="E17" s="958" t="s">
        <v>1079</v>
      </c>
      <c r="F17" s="954" t="s">
        <v>1080</v>
      </c>
      <c r="G17" s="821"/>
      <c r="H17" s="110"/>
      <c r="I17" s="821">
        <v>2</v>
      </c>
      <c r="J17" s="110"/>
      <c r="K17" s="821"/>
      <c r="L17" s="2505"/>
      <c r="M17" s="821"/>
      <c r="N17" s="2505"/>
      <c r="O17" s="821"/>
      <c r="P17" s="2505"/>
      <c r="Q17" s="821"/>
      <c r="R17" s="2505"/>
      <c r="S17" s="821"/>
      <c r="T17" s="2505"/>
      <c r="U17" s="821"/>
      <c r="V17" s="2505"/>
      <c r="W17" s="293"/>
      <c r="X17" s="724"/>
      <c r="AJ17" s="762">
        <v>0</v>
      </c>
    </row>
    <row s="1639" customFormat="1" customHeight="1" ht="33.75">
      <c r="A18" s="2396"/>
      <c r="B18" s="515"/>
      <c r="D18" s="957" t="s">
        <v>352</v>
      </c>
      <c r="E18" s="958" t="s">
        <v>1081</v>
      </c>
      <c r="F18" s="954" t="s">
        <v>591</v>
      </c>
      <c r="G18" s="684"/>
      <c r="H18" s="110"/>
      <c r="I18" s="684">
        <f>171714.26+161102.57</f>
        <v>332816.83</v>
      </c>
      <c r="J18" s="2935" t="s">
        <v>1082</v>
      </c>
      <c r="K18" s="2633"/>
      <c r="L18" s="2505"/>
      <c r="M18" s="2633"/>
      <c r="N18" s="2505"/>
      <c r="O18" s="2633"/>
      <c r="P18" s="2505"/>
      <c r="Q18" s="2633"/>
      <c r="R18" s="2505"/>
      <c r="S18" s="2633"/>
      <c r="T18" s="2505"/>
      <c r="U18" s="2633"/>
      <c r="V18" s="2505"/>
      <c r="W18" s="293"/>
      <c r="X18" s="724"/>
      <c r="AJ18" s="762">
        <v>0</v>
      </c>
    </row>
    <row customHeight="1" ht="101.25">
      <c r="A19" s="2396"/>
      <c r="D19" s="957" t="s">
        <v>91</v>
      </c>
      <c r="E19" s="283" t="s">
        <v>1083</v>
      </c>
      <c r="F19" s="664" t="s">
        <v>564</v>
      </c>
      <c r="G19" s="667"/>
      <c r="H19" s="666"/>
      <c r="I19" s="2521" t="s">
        <v>1084</v>
      </c>
      <c r="J19" s="2936" t="s">
        <v>855</v>
      </c>
      <c r="K19" s="2521" t="s">
        <v>1085</v>
      </c>
      <c r="L19" s="666"/>
      <c r="M19" s="2521" t="s">
        <v>1086</v>
      </c>
      <c r="N19" s="666"/>
      <c r="O19" s="2521" t="s">
        <v>1084</v>
      </c>
      <c r="P19" s="2936" t="s">
        <v>855</v>
      </c>
      <c r="Q19" s="2521" t="s">
        <v>1084</v>
      </c>
      <c r="R19" s="2936" t="s">
        <v>855</v>
      </c>
      <c r="S19" s="2521" t="s">
        <v>1086</v>
      </c>
      <c r="T19" s="666"/>
      <c r="U19" s="2521" t="s">
        <v>1084</v>
      </c>
      <c r="V19" s="2936" t="s">
        <v>855</v>
      </c>
      <c r="W19" s="293" t="s">
        <v>1087</v>
      </c>
      <c r="X19" s="724"/>
      <c r="AJ19" s="509">
        <v>0</v>
      </c>
    </row>
    <row s="1639" customFormat="1" customHeight="1" ht="18.75">
      <c r="A20" s="2396"/>
      <c r="C20" s="960"/>
      <c r="D20" s="957" t="s">
        <v>1014</v>
      </c>
      <c r="E20" s="958" t="s">
        <v>1088</v>
      </c>
      <c r="F20" s="954" t="s">
        <v>324</v>
      </c>
      <c r="G20" s="954" t="s">
        <v>324</v>
      </c>
      <c r="H20" s="953" t="s">
        <v>324</v>
      </c>
      <c r="I20" s="954" t="s">
        <v>324</v>
      </c>
      <c r="J20" s="953" t="s">
        <v>324</v>
      </c>
      <c r="K20" s="2370" t="s">
        <v>324</v>
      </c>
      <c r="L20" s="2264" t="s">
        <v>324</v>
      </c>
      <c r="M20" s="2370" t="s">
        <v>324</v>
      </c>
      <c r="N20" s="2264" t="s">
        <v>324</v>
      </c>
      <c r="O20" s="2370" t="s">
        <v>324</v>
      </c>
      <c r="P20" s="2264" t="s">
        <v>324</v>
      </c>
      <c r="Q20" s="2370" t="s">
        <v>324</v>
      </c>
      <c r="R20" s="2264" t="s">
        <v>324</v>
      </c>
      <c r="S20" s="2370" t="s">
        <v>324</v>
      </c>
      <c r="T20" s="2264" t="s">
        <v>324</v>
      </c>
      <c r="U20" s="2370" t="s">
        <v>324</v>
      </c>
      <c r="V20" s="2264" t="s">
        <v>324</v>
      </c>
      <c r="W20" s="952"/>
      <c r="X20" s="724"/>
      <c r="AI20" s="679"/>
      <c r="AJ20" s="762">
        <v>0</v>
      </c>
    </row>
    <row s="1639" customFormat="1" customHeight="1" ht="33.75">
      <c r="A21" s="2396"/>
      <c r="C21" s="960"/>
      <c r="D21" s="957" t="s">
        <v>1017</v>
      </c>
      <c r="E21" s="580" t="s">
        <v>1089</v>
      </c>
      <c r="F21" s="954" t="s">
        <v>1090</v>
      </c>
      <c r="G21" s="684"/>
      <c r="H21" s="2634"/>
      <c r="I21" s="684">
        <f>'ИП. КНЭ'!O22</f>
        <v>1.18</v>
      </c>
      <c r="J21" s="2634"/>
      <c r="K21" s="2633">
        <v>0</v>
      </c>
      <c r="L21" s="2634"/>
      <c r="M21" s="2633"/>
      <c r="N21" s="2634"/>
      <c r="O21" s="2633"/>
      <c r="P21" s="2634"/>
      <c r="Q21" s="2633"/>
      <c r="R21" s="2634"/>
      <c r="S21" s="2633"/>
      <c r="T21" s="2634"/>
      <c r="U21" s="2633"/>
      <c r="V21" s="2634"/>
      <c r="W21" s="952"/>
      <c r="X21" s="724"/>
      <c r="AI21" s="679"/>
      <c r="AJ21" s="762">
        <v>0</v>
      </c>
    </row>
    <row s="1639" customFormat="1" customHeight="1" ht="33.75">
      <c r="A22" s="2396"/>
      <c r="C22" s="960"/>
      <c r="D22" s="957" t="s">
        <v>1020</v>
      </c>
      <c r="E22" s="580" t="s">
        <v>1091</v>
      </c>
      <c r="F22" s="954" t="s">
        <v>1092</v>
      </c>
      <c r="G22" s="684"/>
      <c r="H22" s="2634"/>
      <c r="I22" s="684">
        <f>'ИП. КНЭ'!Q22</f>
        <v>0.02</v>
      </c>
      <c r="J22" s="2634"/>
      <c r="K22" s="2633">
        <v>0</v>
      </c>
      <c r="L22" s="2634"/>
      <c r="M22" s="2633"/>
      <c r="N22" s="2634"/>
      <c r="O22" s="2633"/>
      <c r="P22" s="2634"/>
      <c r="Q22" s="2633"/>
      <c r="R22" s="2634"/>
      <c r="S22" s="2633"/>
      <c r="T22" s="2634"/>
      <c r="U22" s="2633"/>
      <c r="V22" s="2634"/>
      <c r="W22" s="952"/>
      <c r="X22" s="724"/>
      <c r="AI22" s="679"/>
      <c r="AJ22" s="762">
        <v>0</v>
      </c>
    </row>
    <row s="1639" customFormat="1" customHeight="1" ht="22.5">
      <c r="A23" s="2396"/>
      <c r="C23" s="960"/>
      <c r="D23" s="957" t="s">
        <v>1056</v>
      </c>
      <c r="E23" s="958" t="s">
        <v>1093</v>
      </c>
      <c r="F23" s="954" t="s">
        <v>324</v>
      </c>
      <c r="G23" s="954" t="s">
        <v>324</v>
      </c>
      <c r="H23" s="953" t="s">
        <v>324</v>
      </c>
      <c r="I23" s="954" t="s">
        <v>324</v>
      </c>
      <c r="J23" s="953" t="s">
        <v>324</v>
      </c>
      <c r="K23" s="2370" t="s">
        <v>324</v>
      </c>
      <c r="L23" s="2264" t="s">
        <v>324</v>
      </c>
      <c r="M23" s="2370" t="s">
        <v>324</v>
      </c>
      <c r="N23" s="2264" t="s">
        <v>324</v>
      </c>
      <c r="O23" s="2370" t="s">
        <v>324</v>
      </c>
      <c r="P23" s="2264" t="s">
        <v>324</v>
      </c>
      <c r="Q23" s="2370" t="s">
        <v>324</v>
      </c>
      <c r="R23" s="2264" t="s">
        <v>324</v>
      </c>
      <c r="S23" s="2370" t="s">
        <v>324</v>
      </c>
      <c r="T23" s="2264" t="s">
        <v>324</v>
      </c>
      <c r="U23" s="2370" t="s">
        <v>324</v>
      </c>
      <c r="V23" s="2264" t="s">
        <v>324</v>
      </c>
      <c r="W23" s="952"/>
      <c r="X23" s="724"/>
      <c r="AI23" s="679"/>
      <c r="AJ23" s="762">
        <v>0</v>
      </c>
    </row>
    <row s="1639" customFormat="1" customHeight="1" ht="22.5">
      <c r="A24" s="2396"/>
      <c r="C24" s="960"/>
      <c r="D24" s="957" t="s">
        <v>1094</v>
      </c>
      <c r="E24" s="580" t="s">
        <v>1095</v>
      </c>
      <c r="F24" s="954" t="s">
        <v>1096</v>
      </c>
      <c r="G24" s="684"/>
      <c r="H24" s="2635"/>
      <c r="I24" s="684">
        <v>159.28</v>
      </c>
      <c r="J24" s="2635"/>
      <c r="K24" s="2633">
        <f>'ИП. КНЭ'!S25</f>
        <v>156.03</v>
      </c>
      <c r="L24" s="2635"/>
      <c r="M24" s="2633"/>
      <c r="N24" s="2635"/>
      <c r="O24" s="2633"/>
      <c r="P24" s="2635"/>
      <c r="Q24" s="2633"/>
      <c r="R24" s="2635"/>
      <c r="S24" s="2633"/>
      <c r="T24" s="2635"/>
      <c r="U24" s="2633"/>
      <c r="V24" s="2635"/>
      <c r="W24" s="952"/>
      <c r="X24" s="724"/>
      <c r="AI24" s="679"/>
      <c r="AJ24" s="762">
        <v>0</v>
      </c>
    </row>
    <row s="1639" customFormat="1" customHeight="1" ht="22.5">
      <c r="A25" s="2396"/>
      <c r="C25" s="960"/>
      <c r="D25" s="957" t="s">
        <v>1097</v>
      </c>
      <c r="E25" s="580" t="s">
        <v>1098</v>
      </c>
      <c r="F25" s="954" t="s">
        <v>324</v>
      </c>
      <c r="G25" s="954" t="s">
        <v>324</v>
      </c>
      <c r="H25" s="953" t="s">
        <v>324</v>
      </c>
      <c r="I25" s="954" t="s">
        <v>324</v>
      </c>
      <c r="J25" s="953" t="s">
        <v>324</v>
      </c>
      <c r="K25" s="2370" t="s">
        <v>324</v>
      </c>
      <c r="L25" s="2264" t="s">
        <v>324</v>
      </c>
      <c r="M25" s="2370" t="s">
        <v>324</v>
      </c>
      <c r="N25" s="2264" t="s">
        <v>324</v>
      </c>
      <c r="O25" s="2370" t="s">
        <v>324</v>
      </c>
      <c r="P25" s="2264" t="s">
        <v>324</v>
      </c>
      <c r="Q25" s="2370" t="s">
        <v>324</v>
      </c>
      <c r="R25" s="2264" t="s">
        <v>324</v>
      </c>
      <c r="S25" s="2370" t="s">
        <v>324</v>
      </c>
      <c r="T25" s="2264" t="s">
        <v>324</v>
      </c>
      <c r="U25" s="2370" t="s">
        <v>324</v>
      </c>
      <c r="V25" s="2264" t="s">
        <v>324</v>
      </c>
      <c r="W25" s="952"/>
      <c r="X25" s="724"/>
      <c r="AI25" s="679"/>
      <c r="AJ25" s="762">
        <v>0</v>
      </c>
    </row>
    <row s="1639" customFormat="1" customHeight="1" ht="18.75">
      <c r="A26" s="2396"/>
      <c r="C26" s="960"/>
      <c r="D26" s="957" t="s">
        <v>1099</v>
      </c>
      <c r="E26" s="557" t="s">
        <v>1100</v>
      </c>
      <c r="F26" s="954" t="s">
        <v>1101</v>
      </c>
      <c r="G26" s="684"/>
      <c r="H26" s="690"/>
      <c r="I26" s="684">
        <v>2.3</v>
      </c>
      <c r="J26" s="690"/>
      <c r="K26" s="2633">
        <f>'ИП. КНЭ'!U25</f>
        <v>2.24</v>
      </c>
      <c r="L26" s="2357"/>
      <c r="M26" s="2633"/>
      <c r="N26" s="2357"/>
      <c r="O26" s="2633"/>
      <c r="P26" s="2357"/>
      <c r="Q26" s="2633"/>
      <c r="R26" s="2357"/>
      <c r="S26" s="2633"/>
      <c r="T26" s="2357"/>
      <c r="U26" s="2633"/>
      <c r="V26" s="2357"/>
      <c r="W26" s="952"/>
      <c r="X26" s="724"/>
      <c r="AI26" s="679"/>
      <c r="AJ26" s="762">
        <v>0</v>
      </c>
    </row>
    <row s="1639" customFormat="1" customHeight="1" ht="18.75">
      <c r="A27" s="2396"/>
      <c r="C27" s="960"/>
      <c r="D27" s="957" t="s">
        <v>1102</v>
      </c>
      <c r="E27" s="557" t="s">
        <v>1103</v>
      </c>
      <c r="F27" s="954" t="s">
        <v>1104</v>
      </c>
      <c r="G27" s="684"/>
      <c r="H27" s="690"/>
      <c r="I27" s="684"/>
      <c r="J27" s="690"/>
      <c r="K27" s="2633"/>
      <c r="L27" s="2357"/>
      <c r="M27" s="2633"/>
      <c r="N27" s="2357"/>
      <c r="O27" s="2633"/>
      <c r="P27" s="2357"/>
      <c r="Q27" s="2633"/>
      <c r="R27" s="2357"/>
      <c r="S27" s="2633"/>
      <c r="T27" s="2357"/>
      <c r="U27" s="2633"/>
      <c r="V27" s="2357"/>
      <c r="W27" s="952"/>
      <c r="X27" s="724"/>
      <c r="AI27" s="679"/>
      <c r="AJ27" s="762">
        <v>0</v>
      </c>
    </row>
    <row s="1639" customFormat="1" customHeight="1" ht="18.75">
      <c r="A28" s="2396"/>
      <c r="C28" s="960"/>
      <c r="D28" s="957" t="s">
        <v>1105</v>
      </c>
      <c r="E28" s="580" t="s">
        <v>1106</v>
      </c>
      <c r="F28" s="954" t="s">
        <v>324</v>
      </c>
      <c r="G28" s="954" t="s">
        <v>324</v>
      </c>
      <c r="H28" s="953" t="s">
        <v>324</v>
      </c>
      <c r="I28" s="954" t="s">
        <v>324</v>
      </c>
      <c r="J28" s="953" t="s">
        <v>324</v>
      </c>
      <c r="K28" s="2370" t="s">
        <v>324</v>
      </c>
      <c r="L28" s="2264" t="s">
        <v>324</v>
      </c>
      <c r="M28" s="2370" t="s">
        <v>324</v>
      </c>
      <c r="N28" s="2264" t="s">
        <v>324</v>
      </c>
      <c r="O28" s="2370" t="s">
        <v>324</v>
      </c>
      <c r="P28" s="2264" t="s">
        <v>324</v>
      </c>
      <c r="Q28" s="2370" t="s">
        <v>324</v>
      </c>
      <c r="R28" s="2264" t="s">
        <v>324</v>
      </c>
      <c r="S28" s="2370" t="s">
        <v>324</v>
      </c>
      <c r="T28" s="2264" t="s">
        <v>324</v>
      </c>
      <c r="U28" s="2370" t="s">
        <v>324</v>
      </c>
      <c r="V28" s="2264" t="s">
        <v>324</v>
      </c>
      <c r="W28" s="952"/>
      <c r="X28" s="724"/>
      <c r="AI28" s="679"/>
      <c r="AJ28" s="762">
        <v>0</v>
      </c>
    </row>
    <row s="1639" customFormat="1" customHeight="1" ht="18.75">
      <c r="A29" s="2396"/>
      <c r="C29" s="960"/>
      <c r="D29" s="957" t="s">
        <v>1107</v>
      </c>
      <c r="E29" s="557" t="s">
        <v>1100</v>
      </c>
      <c r="F29" s="954" t="s">
        <v>1108</v>
      </c>
      <c r="G29" s="684"/>
      <c r="H29" s="690"/>
      <c r="I29" s="684">
        <f>'ИП. КНЭ'!Y22</f>
        <v>735819.72</v>
      </c>
      <c r="J29" s="690"/>
      <c r="K29" s="2633">
        <f>'ИП. КНЭ'!Y25</f>
        <v>5542.82</v>
      </c>
      <c r="L29" s="2357"/>
      <c r="M29" s="2633"/>
      <c r="N29" s="2357"/>
      <c r="O29" s="2633"/>
      <c r="P29" s="2357"/>
      <c r="Q29" s="2633"/>
      <c r="R29" s="2357"/>
      <c r="S29" s="2633"/>
      <c r="T29" s="2357"/>
      <c r="U29" s="2633"/>
      <c r="V29" s="2357"/>
      <c r="W29" s="952"/>
      <c r="X29" s="724"/>
      <c r="AI29" s="679"/>
      <c r="AJ29" s="762">
        <v>0</v>
      </c>
    </row>
    <row s="1639" customFormat="1" customHeight="1" ht="18.75">
      <c r="A30" s="2396"/>
      <c r="C30" s="960"/>
      <c r="D30" s="957" t="s">
        <v>1109</v>
      </c>
      <c r="E30" s="557" t="s">
        <v>1110</v>
      </c>
      <c r="F30" s="954" t="s">
        <v>1111</v>
      </c>
      <c r="G30" s="684"/>
      <c r="H30" s="690"/>
      <c r="I30" s="684"/>
      <c r="J30" s="690"/>
      <c r="K30" s="2633"/>
      <c r="L30" s="2357"/>
      <c r="M30" s="2633"/>
      <c r="N30" s="2357"/>
      <c r="O30" s="2633"/>
      <c r="P30" s="2357"/>
      <c r="Q30" s="2633"/>
      <c r="R30" s="2357"/>
      <c r="S30" s="2633"/>
      <c r="T30" s="2357"/>
      <c r="U30" s="2633"/>
      <c r="V30" s="2357"/>
      <c r="W30" s="952"/>
      <c r="X30" s="724"/>
      <c r="AI30" s="679"/>
      <c r="AJ30" s="762">
        <v>0</v>
      </c>
    </row>
    <row customHeight="1" ht="40.833333333333336">
      <c r="A31" s="2396"/>
      <c r="D31" s="957" t="s">
        <v>120</v>
      </c>
      <c r="E31" s="283" t="s">
        <v>1112</v>
      </c>
      <c r="F31" s="664" t="s">
        <v>576</v>
      </c>
      <c r="G31" s="561"/>
      <c r="H31" s="666"/>
      <c r="I31" s="561">
        <v>57</v>
      </c>
      <c r="J31" s="666"/>
      <c r="K31" s="561">
        <v>0</v>
      </c>
      <c r="L31" s="666"/>
      <c r="M31" s="561">
        <v>0</v>
      </c>
      <c r="N31" s="666"/>
      <c r="O31" s="561">
        <v>57</v>
      </c>
      <c r="P31" s="666"/>
      <c r="Q31" s="561">
        <v>57</v>
      </c>
      <c r="R31" s="666"/>
      <c r="S31" s="561">
        <v>0</v>
      </c>
      <c r="T31" s="666"/>
      <c r="U31" s="561">
        <v>57</v>
      </c>
      <c r="V31" s="666"/>
      <c r="W31" s="293" t="s">
        <v>1113</v>
      </c>
      <c r="X31" s="724"/>
      <c r="AJ31" s="509">
        <v>0</v>
      </c>
    </row>
    <row customHeight="1" ht="41.666666666666664">
      <c r="A32" s="2396"/>
      <c r="D32" s="957" t="s">
        <v>92</v>
      </c>
      <c r="E32" s="283" t="s">
        <v>1114</v>
      </c>
      <c r="F32" s="543" t="s">
        <v>1080</v>
      </c>
      <c r="G32" s="561"/>
      <c r="H32" s="666"/>
      <c r="I32" s="561">
        <v>3</v>
      </c>
      <c r="J32" s="666"/>
      <c r="K32" s="561">
        <v>0</v>
      </c>
      <c r="L32" s="666"/>
      <c r="M32" s="561">
        <v>0</v>
      </c>
      <c r="N32" s="666"/>
      <c r="O32" s="561">
        <v>3</v>
      </c>
      <c r="P32" s="666"/>
      <c r="Q32" s="561">
        <v>3</v>
      </c>
      <c r="R32" s="666"/>
      <c r="S32" s="561">
        <v>0</v>
      </c>
      <c r="T32" s="666"/>
      <c r="U32" s="561">
        <v>3</v>
      </c>
      <c r="V32" s="666"/>
      <c r="W32" s="293" t="s">
        <v>1115</v>
      </c>
      <c r="X32" s="724"/>
      <c r="AJ32" s="509">
        <v>0</v>
      </c>
    </row>
    <row customHeight="1" ht="11.25">
      <c r="A33" s="2396"/>
      <c r="E33" s="668"/>
      <c r="F33" s="185"/>
      <c r="G33" s="185"/>
      <c r="H33" s="185"/>
      <c r="I33" s="185"/>
      <c r="J33" s="185"/>
      <c r="K33" s="1068"/>
      <c r="L33" s="1068"/>
      <c r="M33" s="1068"/>
      <c r="N33" s="1068"/>
      <c r="O33" s="1068"/>
      <c r="P33" s="1068"/>
      <c r="Q33" s="1068"/>
      <c r="R33" s="1068"/>
      <c r="S33" s="1068"/>
      <c r="T33" s="1068"/>
      <c r="U33" s="1068"/>
      <c r="V33" s="1068"/>
      <c r="W33" s="185"/>
      <c r="AJ33" s="509">
        <v>0</v>
      </c>
    </row>
    <row customHeight="1" ht="12.75">
      <c r="A34" s="2396"/>
      <c r="D34" s="69">
        <v>1</v>
      </c>
      <c r="E34" s="339" t="s">
        <v>1116</v>
      </c>
      <c r="K34" s="1639"/>
      <c r="L34" s="1639"/>
      <c r="M34" s="1639"/>
      <c r="N34" s="1639"/>
      <c r="O34" s="1639"/>
      <c r="P34" s="1639"/>
      <c r="Q34" s="1639"/>
      <c r="R34" s="1639"/>
      <c r="S34" s="1639"/>
      <c r="T34" s="1639"/>
      <c r="U34" s="1639"/>
      <c r="V34" s="1639"/>
      <c r="AJ34" s="509">
        <v>0</v>
      </c>
    </row>
    <row customHeight="1" ht="11.25">
      <c r="A35" s="2396"/>
      <c r="D35" s="373"/>
      <c r="E35" s="339" t="s">
        <v>1117</v>
      </c>
      <c r="K35" s="1639"/>
      <c r="L35" s="1639"/>
      <c r="M35" s="1639"/>
      <c r="N35" s="1639"/>
      <c r="O35" s="1639"/>
      <c r="P35" s="1639"/>
      <c r="Q35" s="1639"/>
      <c r="R35" s="1639"/>
      <c r="S35" s="1639"/>
      <c r="T35" s="1639"/>
      <c r="U35" s="1639"/>
      <c r="V35" s="1639"/>
      <c r="AJ35" s="509">
        <v>0</v>
      </c>
    </row>
    <row s="1639" customFormat="1" customHeight="1" ht="11.549999999999999">
      <c r="A36" s="1037"/>
      <c r="B36" s="522"/>
      <c r="D36" s="1038"/>
      <c r="E36" s="1039"/>
      <c r="K36" s="1639"/>
      <c r="L36" s="1639"/>
      <c r="M36" s="1639"/>
      <c r="N36" s="1639"/>
      <c r="O36" s="1639"/>
      <c r="P36" s="1639"/>
      <c r="Q36" s="1639"/>
      <c r="R36" s="1639"/>
      <c r="S36" s="1639"/>
      <c r="T36" s="1639"/>
      <c r="U36" s="1639"/>
      <c r="V36" s="1639"/>
      <c r="AJ36" s="513">
        <v>11</v>
      </c>
    </row>
    <row s="1639" customFormat="1" customHeight="1" ht="22.5" hidden="1">
      <c r="A37" s="2396" t="s">
        <v>1118</v>
      </c>
      <c r="B37" s="515"/>
      <c r="D37" s="957">
        <v>1</v>
      </c>
      <c r="E37" s="711" t="s">
        <v>1119</v>
      </c>
      <c r="F37" s="664" t="s">
        <v>1070</v>
      </c>
      <c r="G37" s="561"/>
      <c r="H37" s="523"/>
      <c r="I37" s="561"/>
      <c r="J37" s="523"/>
      <c r="K37" s="561"/>
      <c r="L37" s="523"/>
      <c r="M37" s="561"/>
      <c r="N37" s="523"/>
      <c r="O37" s="561"/>
      <c r="P37" s="523"/>
      <c r="Q37" s="561"/>
      <c r="R37" s="523"/>
      <c r="S37" s="561"/>
      <c r="T37" s="523"/>
      <c r="U37" s="561"/>
      <c r="V37" s="523"/>
      <c r="W37" s="293" t="s">
        <v>1120</v>
      </c>
      <c r="AJ37" s="762">
        <v>0</v>
      </c>
    </row>
    <row s="1639" customFormat="1" customHeight="1" ht="22.5" hidden="1">
      <c r="A38" s="2396"/>
      <c r="B38" s="515"/>
      <c r="D38" s="673" t="s">
        <v>103</v>
      </c>
      <c r="E38" s="1036" t="s">
        <v>1121</v>
      </c>
      <c r="F38" s="1040" t="s">
        <v>564</v>
      </c>
      <c r="G38" s="1040" t="s">
        <v>564</v>
      </c>
      <c r="H38" s="1034"/>
      <c r="I38" s="1040" t="s">
        <v>564</v>
      </c>
      <c r="J38" s="1034"/>
      <c r="K38" s="1040" t="s">
        <v>564</v>
      </c>
      <c r="L38" s="1034"/>
      <c r="M38" s="1040" t="s">
        <v>564</v>
      </c>
      <c r="N38" s="1034"/>
      <c r="O38" s="1040" t="s">
        <v>564</v>
      </c>
      <c r="P38" s="1034"/>
      <c r="Q38" s="1040" t="s">
        <v>564</v>
      </c>
      <c r="R38" s="1034"/>
      <c r="S38" s="1040" t="s">
        <v>564</v>
      </c>
      <c r="T38" s="1034"/>
      <c r="U38" s="1040" t="s">
        <v>564</v>
      </c>
      <c r="V38" s="1034"/>
      <c r="W38" s="1035"/>
      <c r="AJ38" s="762">
        <v>0</v>
      </c>
    </row>
    <row s="1639" customFormat="1" customHeight="1" ht="33.75" hidden="1">
      <c r="A39" s="2396"/>
      <c r="B39" s="515"/>
      <c r="D39" s="669" t="s">
        <v>972</v>
      </c>
      <c r="E39" s="727" t="s">
        <v>1122</v>
      </c>
      <c r="F39" s="664" t="s">
        <v>1123</v>
      </c>
      <c r="G39" s="672"/>
      <c r="H39" s="1027"/>
      <c r="I39" s="672"/>
      <c r="J39" s="1027"/>
      <c r="K39" s="1173"/>
      <c r="L39" s="1027"/>
      <c r="M39" s="1173"/>
      <c r="N39" s="1027"/>
      <c r="O39" s="1173"/>
      <c r="P39" s="1027"/>
      <c r="Q39" s="1173"/>
      <c r="R39" s="1027"/>
      <c r="S39" s="1173"/>
      <c r="T39" s="1027"/>
      <c r="U39" s="1173"/>
      <c r="V39" s="1027"/>
      <c r="W39" s="293" t="s">
        <v>1124</v>
      </c>
      <c r="AJ39" s="762">
        <v>0</v>
      </c>
    </row>
    <row s="1639" customFormat="1" customHeight="1" ht="33.75" hidden="1">
      <c r="A40" s="2396"/>
      <c r="B40" s="515"/>
      <c r="D40" s="669" t="s">
        <v>975</v>
      </c>
      <c r="E40" s="727" t="s">
        <v>1125</v>
      </c>
      <c r="F40" s="1031" t="s">
        <v>1126</v>
      </c>
      <c r="G40" s="745"/>
      <c r="H40" s="1027"/>
      <c r="I40" s="745"/>
      <c r="J40" s="1027"/>
      <c r="K40" s="745"/>
      <c r="L40" s="1027"/>
      <c r="M40" s="745"/>
      <c r="N40" s="1027"/>
      <c r="O40" s="745"/>
      <c r="P40" s="1027"/>
      <c r="Q40" s="745"/>
      <c r="R40" s="1027"/>
      <c r="S40" s="745"/>
      <c r="T40" s="1027"/>
      <c r="U40" s="745"/>
      <c r="V40" s="1027"/>
      <c r="W40" s="293" t="s">
        <v>1127</v>
      </c>
      <c r="AJ40" s="762">
        <v>0</v>
      </c>
    </row>
    <row s="1639" customFormat="1" customHeight="1" ht="22.5" hidden="1">
      <c r="A41" s="2396"/>
      <c r="B41" s="515"/>
      <c r="D41" s="669" t="s">
        <v>90</v>
      </c>
      <c r="E41" s="726" t="s">
        <v>1128</v>
      </c>
      <c r="F41" s="664" t="s">
        <v>564</v>
      </c>
      <c r="G41" s="664" t="s">
        <v>564</v>
      </c>
      <c r="H41" s="1028"/>
      <c r="I41" s="664" t="s">
        <v>564</v>
      </c>
      <c r="J41" s="1028"/>
      <c r="K41" s="2108" t="s">
        <v>564</v>
      </c>
      <c r="L41" s="1028"/>
      <c r="M41" s="2108" t="s">
        <v>564</v>
      </c>
      <c r="N41" s="1028"/>
      <c r="O41" s="2108" t="s">
        <v>564</v>
      </c>
      <c r="P41" s="1028"/>
      <c r="Q41" s="2108" t="s">
        <v>564</v>
      </c>
      <c r="R41" s="1028"/>
      <c r="S41" s="2108" t="s">
        <v>564</v>
      </c>
      <c r="T41" s="1028"/>
      <c r="U41" s="2108" t="s">
        <v>564</v>
      </c>
      <c r="V41" s="1028"/>
      <c r="W41" s="306"/>
      <c r="AJ41" s="762">
        <v>0</v>
      </c>
    </row>
    <row s="1639" customFormat="1" customHeight="1" ht="45" hidden="1">
      <c r="A42" s="2396"/>
      <c r="B42" s="515"/>
      <c r="D42" s="669" t="s">
        <v>342</v>
      </c>
      <c r="E42" s="727" t="s">
        <v>1129</v>
      </c>
      <c r="F42" s="664" t="s">
        <v>576</v>
      </c>
      <c r="G42" s="561"/>
      <c r="H42" s="1028"/>
      <c r="I42" s="561"/>
      <c r="J42" s="1028"/>
      <c r="K42" s="561"/>
      <c r="L42" s="1028"/>
      <c r="M42" s="561"/>
      <c r="N42" s="1028"/>
      <c r="O42" s="561"/>
      <c r="P42" s="1028"/>
      <c r="Q42" s="561"/>
      <c r="R42" s="1028"/>
      <c r="S42" s="561"/>
      <c r="T42" s="1028"/>
      <c r="U42" s="561"/>
      <c r="V42" s="1028"/>
      <c r="W42" s="306" t="s">
        <v>1130</v>
      </c>
      <c r="AJ42" s="762">
        <v>0</v>
      </c>
    </row>
    <row s="1639" customFormat="1" customHeight="1" ht="45" hidden="1">
      <c r="A43" s="2396"/>
      <c r="B43" s="515"/>
      <c r="D43" s="669" t="s">
        <v>350</v>
      </c>
      <c r="E43" s="671" t="s">
        <v>1131</v>
      </c>
      <c r="F43" s="1032" t="s">
        <v>576</v>
      </c>
      <c r="G43" s="746"/>
      <c r="H43" s="1027"/>
      <c r="I43" s="746"/>
      <c r="J43" s="1027"/>
      <c r="K43" s="746"/>
      <c r="L43" s="1027"/>
      <c r="M43" s="746"/>
      <c r="N43" s="1027"/>
      <c r="O43" s="746"/>
      <c r="P43" s="1027"/>
      <c r="Q43" s="746"/>
      <c r="R43" s="1027"/>
      <c r="S43" s="746"/>
      <c r="T43" s="1027"/>
      <c r="U43" s="746"/>
      <c r="V43" s="1027"/>
      <c r="W43" s="306" t="s">
        <v>1132</v>
      </c>
      <c r="AJ43" s="762">
        <v>0</v>
      </c>
    </row>
    <row s="1639" customFormat="1" customHeight="1" ht="11.25" hidden="1">
      <c r="A44" s="2396"/>
      <c r="B44" s="515"/>
      <c r="D44" s="669" t="s">
        <v>91</v>
      </c>
      <c r="E44" s="670" t="s">
        <v>1133</v>
      </c>
      <c r="F44" s="664" t="s">
        <v>1123</v>
      </c>
      <c r="G44" s="672"/>
      <c r="H44" s="1027"/>
      <c r="I44" s="672"/>
      <c r="J44" s="1027"/>
      <c r="K44" s="1173"/>
      <c r="L44" s="1027"/>
      <c r="M44" s="1173"/>
      <c r="N44" s="1027"/>
      <c r="O44" s="1173"/>
      <c r="P44" s="1027"/>
      <c r="Q44" s="1173"/>
      <c r="R44" s="1027"/>
      <c r="S44" s="1173"/>
      <c r="T44" s="1027"/>
      <c r="U44" s="1173"/>
      <c r="V44" s="1027"/>
      <c r="W44" s="293"/>
      <c r="AJ44" s="762">
        <v>0</v>
      </c>
    </row>
    <row s="1639" customFormat="1" customHeight="1" ht="11.25" hidden="1">
      <c r="A45" s="2396"/>
      <c r="B45" s="515"/>
      <c r="D45" s="669" t="s">
        <v>1014</v>
      </c>
      <c r="E45" s="671" t="s">
        <v>1134</v>
      </c>
      <c r="F45" s="664" t="s">
        <v>1123</v>
      </c>
      <c r="G45" s="672"/>
      <c r="H45" s="1027"/>
      <c r="I45" s="672"/>
      <c r="J45" s="1027"/>
      <c r="K45" s="1173"/>
      <c r="L45" s="1027"/>
      <c r="M45" s="1173"/>
      <c r="N45" s="1027"/>
      <c r="O45" s="1173"/>
      <c r="P45" s="1027"/>
      <c r="Q45" s="1173"/>
      <c r="R45" s="1027"/>
      <c r="S45" s="1173"/>
      <c r="T45" s="1027"/>
      <c r="U45" s="1173"/>
      <c r="V45" s="1027"/>
      <c r="W45" s="293"/>
      <c r="AJ45" s="762">
        <v>0</v>
      </c>
    </row>
    <row s="1639" customFormat="1" customHeight="1" ht="11.25" hidden="1">
      <c r="A46" s="2396"/>
      <c r="B46" s="515"/>
      <c r="D46" s="669" t="s">
        <v>1056</v>
      </c>
      <c r="E46" s="671" t="s">
        <v>1135</v>
      </c>
      <c r="F46" s="664" t="s">
        <v>1123</v>
      </c>
      <c r="G46" s="672"/>
      <c r="H46" s="1027"/>
      <c r="I46" s="672"/>
      <c r="J46" s="1027"/>
      <c r="K46" s="1173"/>
      <c r="L46" s="1027"/>
      <c r="M46" s="1173"/>
      <c r="N46" s="1027"/>
      <c r="O46" s="1173"/>
      <c r="P46" s="1027"/>
      <c r="Q46" s="1173"/>
      <c r="R46" s="1027"/>
      <c r="S46" s="1173"/>
      <c r="T46" s="1027"/>
      <c r="U46" s="1173"/>
      <c r="V46" s="1027"/>
      <c r="W46" s="293"/>
      <c r="AJ46" s="762">
        <v>0</v>
      </c>
    </row>
    <row s="1639" customFormat="1" customHeight="1" ht="11.25" hidden="1">
      <c r="A47" s="2396"/>
      <c r="B47" s="515"/>
      <c r="D47" s="669" t="s">
        <v>1059</v>
      </c>
      <c r="E47" s="671" t="s">
        <v>1136</v>
      </c>
      <c r="F47" s="664" t="s">
        <v>1123</v>
      </c>
      <c r="G47" s="672"/>
      <c r="H47" s="1027"/>
      <c r="I47" s="672"/>
      <c r="J47" s="1027"/>
      <c r="K47" s="1173"/>
      <c r="L47" s="1027"/>
      <c r="M47" s="1173"/>
      <c r="N47" s="1027"/>
      <c r="O47" s="1173"/>
      <c r="P47" s="1027"/>
      <c r="Q47" s="1173"/>
      <c r="R47" s="1027"/>
      <c r="S47" s="1173"/>
      <c r="T47" s="1027"/>
      <c r="U47" s="1173"/>
      <c r="V47" s="1027"/>
      <c r="W47" s="293"/>
      <c r="AJ47" s="762">
        <v>0</v>
      </c>
    </row>
    <row s="1639" customFormat="1" customHeight="1" ht="11.25" hidden="1">
      <c r="A48" s="2396"/>
      <c r="B48" s="515"/>
      <c r="D48" s="669" t="s">
        <v>1137</v>
      </c>
      <c r="E48" s="675" t="s">
        <v>1138</v>
      </c>
      <c r="F48" s="664" t="s">
        <v>1123</v>
      </c>
      <c r="G48" s="672"/>
      <c r="H48" s="1027"/>
      <c r="I48" s="672"/>
      <c r="J48" s="1027"/>
      <c r="K48" s="1173"/>
      <c r="L48" s="1027"/>
      <c r="M48" s="1173"/>
      <c r="N48" s="1027"/>
      <c r="O48" s="1173"/>
      <c r="P48" s="1027"/>
      <c r="Q48" s="1173"/>
      <c r="R48" s="1027"/>
      <c r="S48" s="1173"/>
      <c r="T48" s="1027"/>
      <c r="U48" s="1173"/>
      <c r="V48" s="1027"/>
      <c r="W48" s="293"/>
      <c r="AJ48" s="762">
        <v>0</v>
      </c>
    </row>
    <row s="1639" customFormat="1" customHeight="1" ht="11.25" hidden="1">
      <c r="A49" s="2396"/>
      <c r="B49" s="515"/>
      <c r="D49" s="669" t="s">
        <v>1139</v>
      </c>
      <c r="E49" s="675" t="s">
        <v>1140</v>
      </c>
      <c r="F49" s="664" t="s">
        <v>1123</v>
      </c>
      <c r="G49" s="672"/>
      <c r="H49" s="1027"/>
      <c r="I49" s="672"/>
      <c r="J49" s="1027"/>
      <c r="K49" s="1173"/>
      <c r="L49" s="1027"/>
      <c r="M49" s="1173"/>
      <c r="N49" s="1027"/>
      <c r="O49" s="1173"/>
      <c r="P49" s="1027"/>
      <c r="Q49" s="1173"/>
      <c r="R49" s="1027"/>
      <c r="S49" s="1173"/>
      <c r="T49" s="1027"/>
      <c r="U49" s="1173"/>
      <c r="V49" s="1027"/>
      <c r="W49" s="293"/>
      <c r="AJ49" s="762">
        <v>0</v>
      </c>
    </row>
    <row s="1639" customFormat="1" customHeight="1" ht="11.25" hidden="1">
      <c r="A50" s="2396"/>
      <c r="B50" s="515"/>
      <c r="D50" s="669" t="s">
        <v>1141</v>
      </c>
      <c r="E50" s="671" t="s">
        <v>1142</v>
      </c>
      <c r="F50" s="664" t="s">
        <v>1123</v>
      </c>
      <c r="G50" s="672"/>
      <c r="H50" s="1027"/>
      <c r="I50" s="672"/>
      <c r="J50" s="1027"/>
      <c r="K50" s="1173"/>
      <c r="L50" s="1027"/>
      <c r="M50" s="1173"/>
      <c r="N50" s="1027"/>
      <c r="O50" s="1173"/>
      <c r="P50" s="1027"/>
      <c r="Q50" s="1173"/>
      <c r="R50" s="1027"/>
      <c r="S50" s="1173"/>
      <c r="T50" s="1027"/>
      <c r="U50" s="1173"/>
      <c r="V50" s="1027"/>
      <c r="W50" s="293"/>
      <c r="AJ50" s="762">
        <v>0</v>
      </c>
    </row>
    <row s="1639" customFormat="1" customHeight="1" ht="11.25" hidden="1">
      <c r="A51" s="2396"/>
      <c r="B51" s="515"/>
      <c r="D51" s="669" t="s">
        <v>1143</v>
      </c>
      <c r="E51" s="671" t="s">
        <v>1144</v>
      </c>
      <c r="F51" s="664" t="s">
        <v>1123</v>
      </c>
      <c r="G51" s="672"/>
      <c r="H51" s="1027"/>
      <c r="I51" s="672"/>
      <c r="J51" s="1027"/>
      <c r="K51" s="1173"/>
      <c r="L51" s="1027"/>
      <c r="M51" s="1173"/>
      <c r="N51" s="1027"/>
      <c r="O51" s="1173"/>
      <c r="P51" s="1027"/>
      <c r="Q51" s="1173"/>
      <c r="R51" s="1027"/>
      <c r="S51" s="1173"/>
      <c r="T51" s="1027"/>
      <c r="U51" s="1173"/>
      <c r="V51" s="1027"/>
      <c r="W51" s="293"/>
      <c r="AJ51" s="762">
        <v>0</v>
      </c>
    </row>
    <row s="1639" customFormat="1" customHeight="1" ht="45" hidden="1">
      <c r="A52" s="2396"/>
      <c r="B52" s="515"/>
      <c r="D52" s="669" t="s">
        <v>120</v>
      </c>
      <c r="E52" s="670" t="s">
        <v>1145</v>
      </c>
      <c r="F52" s="664" t="s">
        <v>1123</v>
      </c>
      <c r="G52" s="672"/>
      <c r="H52" s="1027"/>
      <c r="I52" s="672"/>
      <c r="J52" s="1027"/>
      <c r="K52" s="1173"/>
      <c r="L52" s="1027"/>
      <c r="M52" s="1173"/>
      <c r="N52" s="1027"/>
      <c r="O52" s="1173"/>
      <c r="P52" s="1027"/>
      <c r="Q52" s="1173"/>
      <c r="R52" s="1027"/>
      <c r="S52" s="1173"/>
      <c r="T52" s="1027"/>
      <c r="U52" s="1173"/>
      <c r="V52" s="1027"/>
      <c r="W52" s="293"/>
      <c r="AJ52" s="762">
        <v>0</v>
      </c>
    </row>
    <row s="1639" customFormat="1" customHeight="1" ht="11.25" hidden="1">
      <c r="A53" s="2396"/>
      <c r="B53" s="515"/>
      <c r="D53" s="669" t="s">
        <v>331</v>
      </c>
      <c r="E53" s="671" t="s">
        <v>1134</v>
      </c>
      <c r="F53" s="664" t="s">
        <v>1123</v>
      </c>
      <c r="G53" s="672"/>
      <c r="H53" s="1027"/>
      <c r="I53" s="672"/>
      <c r="J53" s="1027"/>
      <c r="K53" s="1173"/>
      <c r="L53" s="1027"/>
      <c r="M53" s="1173"/>
      <c r="N53" s="1027"/>
      <c r="O53" s="1173"/>
      <c r="P53" s="1027"/>
      <c r="Q53" s="1173"/>
      <c r="R53" s="1027"/>
      <c r="S53" s="1173"/>
      <c r="T53" s="1027"/>
      <c r="U53" s="1173"/>
      <c r="V53" s="1027"/>
      <c r="W53" s="293"/>
      <c r="AJ53" s="762">
        <v>0</v>
      </c>
    </row>
    <row s="1639" customFormat="1" customHeight="1" ht="11.25" hidden="1">
      <c r="A54" s="2396"/>
      <c r="B54" s="515"/>
      <c r="D54" s="669" t="s">
        <v>1146</v>
      </c>
      <c r="E54" s="671" t="s">
        <v>1135</v>
      </c>
      <c r="F54" s="664" t="s">
        <v>1123</v>
      </c>
      <c r="G54" s="672"/>
      <c r="H54" s="1027"/>
      <c r="I54" s="672"/>
      <c r="J54" s="1027"/>
      <c r="K54" s="1173"/>
      <c r="L54" s="1027"/>
      <c r="M54" s="1173"/>
      <c r="N54" s="1027"/>
      <c r="O54" s="1173"/>
      <c r="P54" s="1027"/>
      <c r="Q54" s="1173"/>
      <c r="R54" s="1027"/>
      <c r="S54" s="1173"/>
      <c r="T54" s="1027"/>
      <c r="U54" s="1173"/>
      <c r="V54" s="1027"/>
      <c r="W54" s="293"/>
      <c r="AJ54" s="762">
        <v>0</v>
      </c>
    </row>
    <row s="1639" customFormat="1" customHeight="1" ht="11.25" hidden="1">
      <c r="A55" s="2396"/>
      <c r="B55" s="515"/>
      <c r="D55" s="669" t="s">
        <v>1147</v>
      </c>
      <c r="E55" s="671" t="s">
        <v>1136</v>
      </c>
      <c r="F55" s="664" t="s">
        <v>1123</v>
      </c>
      <c r="G55" s="672"/>
      <c r="H55" s="1027"/>
      <c r="I55" s="672"/>
      <c r="J55" s="1027"/>
      <c r="K55" s="1173"/>
      <c r="L55" s="1027"/>
      <c r="M55" s="1173"/>
      <c r="N55" s="1027"/>
      <c r="O55" s="1173"/>
      <c r="P55" s="1027"/>
      <c r="Q55" s="1173"/>
      <c r="R55" s="1027"/>
      <c r="S55" s="1173"/>
      <c r="T55" s="1027"/>
      <c r="U55" s="1173"/>
      <c r="V55" s="1027"/>
      <c r="W55" s="293"/>
      <c r="AJ55" s="762">
        <v>0</v>
      </c>
    </row>
    <row s="1639" customFormat="1" customHeight="1" ht="11.25" hidden="1">
      <c r="A56" s="2396"/>
      <c r="B56" s="515"/>
      <c r="D56" s="669" t="s">
        <v>1148</v>
      </c>
      <c r="E56" s="675" t="s">
        <v>1138</v>
      </c>
      <c r="F56" s="664" t="s">
        <v>1123</v>
      </c>
      <c r="G56" s="672"/>
      <c r="H56" s="1027"/>
      <c r="I56" s="672"/>
      <c r="J56" s="1027"/>
      <c r="K56" s="1173"/>
      <c r="L56" s="1027"/>
      <c r="M56" s="1173"/>
      <c r="N56" s="1027"/>
      <c r="O56" s="1173"/>
      <c r="P56" s="1027"/>
      <c r="Q56" s="1173"/>
      <c r="R56" s="1027"/>
      <c r="S56" s="1173"/>
      <c r="T56" s="1027"/>
      <c r="U56" s="1173"/>
      <c r="V56" s="1027"/>
      <c r="W56" s="293"/>
      <c r="AJ56" s="762">
        <v>0</v>
      </c>
    </row>
    <row s="1639" customFormat="1" customHeight="1" ht="11.25" hidden="1">
      <c r="A57" s="2396"/>
      <c r="B57" s="515"/>
      <c r="D57" s="669" t="s">
        <v>1149</v>
      </c>
      <c r="E57" s="675" t="s">
        <v>1140</v>
      </c>
      <c r="F57" s="664" t="s">
        <v>1123</v>
      </c>
      <c r="G57" s="672"/>
      <c r="H57" s="1027"/>
      <c r="I57" s="672"/>
      <c r="J57" s="1027"/>
      <c r="K57" s="1173"/>
      <c r="L57" s="1027"/>
      <c r="M57" s="1173"/>
      <c r="N57" s="1027"/>
      <c r="O57" s="1173"/>
      <c r="P57" s="1027"/>
      <c r="Q57" s="1173"/>
      <c r="R57" s="1027"/>
      <c r="S57" s="1173"/>
      <c r="T57" s="1027"/>
      <c r="U57" s="1173"/>
      <c r="V57" s="1027"/>
      <c r="W57" s="293"/>
      <c r="AJ57" s="762">
        <v>0</v>
      </c>
    </row>
    <row s="1639" customFormat="1" customHeight="1" ht="11.25" hidden="1">
      <c r="A58" s="2396"/>
      <c r="B58" s="515"/>
      <c r="D58" s="669" t="s">
        <v>1150</v>
      </c>
      <c r="E58" s="671" t="s">
        <v>1142</v>
      </c>
      <c r="F58" s="664" t="s">
        <v>1123</v>
      </c>
      <c r="G58" s="672"/>
      <c r="H58" s="1027"/>
      <c r="I58" s="672"/>
      <c r="J58" s="1027"/>
      <c r="K58" s="1173"/>
      <c r="L58" s="1027"/>
      <c r="M58" s="1173"/>
      <c r="N58" s="1027"/>
      <c r="O58" s="1173"/>
      <c r="P58" s="1027"/>
      <c r="Q58" s="1173"/>
      <c r="R58" s="1027"/>
      <c r="S58" s="1173"/>
      <c r="T58" s="1027"/>
      <c r="U58" s="1173"/>
      <c r="V58" s="1027"/>
      <c r="W58" s="293"/>
      <c r="AJ58" s="762">
        <v>0</v>
      </c>
    </row>
    <row s="1639" customFormat="1" customHeight="1" ht="11.25" hidden="1">
      <c r="A59" s="2396"/>
      <c r="B59" s="515"/>
      <c r="D59" s="669" t="s">
        <v>1151</v>
      </c>
      <c r="E59" s="671" t="s">
        <v>1144</v>
      </c>
      <c r="F59" s="664" t="s">
        <v>1123</v>
      </c>
      <c r="G59" s="672"/>
      <c r="H59" s="1027"/>
      <c r="I59" s="672"/>
      <c r="J59" s="1027"/>
      <c r="K59" s="1173"/>
      <c r="L59" s="1027"/>
      <c r="M59" s="1173"/>
      <c r="N59" s="1027"/>
      <c r="O59" s="1173"/>
      <c r="P59" s="1027"/>
      <c r="Q59" s="1173"/>
      <c r="R59" s="1027"/>
      <c r="S59" s="1173"/>
      <c r="T59" s="1027"/>
      <c r="U59" s="1173"/>
      <c r="V59" s="1027"/>
      <c r="W59" s="293"/>
      <c r="AJ59" s="762">
        <v>0</v>
      </c>
    </row>
    <row s="1639" customFormat="1" customHeight="1" ht="33.75" hidden="1">
      <c r="A60" s="2396"/>
      <c r="B60" s="515"/>
      <c r="D60" s="669" t="s">
        <v>92</v>
      </c>
      <c r="E60" s="670" t="s">
        <v>1152</v>
      </c>
      <c r="F60" s="725" t="s">
        <v>576</v>
      </c>
      <c r="G60" s="746"/>
      <c r="H60" s="1027"/>
      <c r="I60" s="746"/>
      <c r="J60" s="1027"/>
      <c r="K60" s="746"/>
      <c r="L60" s="1027"/>
      <c r="M60" s="746"/>
      <c r="N60" s="1027"/>
      <c r="O60" s="746"/>
      <c r="P60" s="1027"/>
      <c r="Q60" s="746"/>
      <c r="R60" s="1027"/>
      <c r="S60" s="746"/>
      <c r="T60" s="1027"/>
      <c r="U60" s="746"/>
      <c r="V60" s="1027"/>
      <c r="W60" s="306" t="s">
        <v>1153</v>
      </c>
      <c r="AJ60" s="762">
        <v>0</v>
      </c>
    </row>
    <row s="1639" customFormat="1" customHeight="1" ht="33.75" hidden="1">
      <c r="A61" s="2396"/>
      <c r="B61" s="515"/>
      <c r="D61" s="669" t="s">
        <v>93</v>
      </c>
      <c r="E61" s="670" t="s">
        <v>1154</v>
      </c>
      <c r="F61" s="730" t="s">
        <v>1080</v>
      </c>
      <c r="G61" s="672"/>
      <c r="H61" s="1027"/>
      <c r="I61" s="672"/>
      <c r="J61" s="1027"/>
      <c r="K61" s="1173"/>
      <c r="L61" s="1027"/>
      <c r="M61" s="1173"/>
      <c r="N61" s="1027"/>
      <c r="O61" s="1173"/>
      <c r="P61" s="1027"/>
      <c r="Q61" s="1173"/>
      <c r="R61" s="1027"/>
      <c r="S61" s="1173"/>
      <c r="T61" s="1027"/>
      <c r="U61" s="1173"/>
      <c r="V61" s="1027"/>
      <c r="W61" s="293"/>
      <c r="AJ61" s="762">
        <v>0</v>
      </c>
    </row>
    <row s="1639" customFormat="1" customHeight="1" ht="22.5" hidden="1">
      <c r="A62" s="2396"/>
      <c r="B62" s="515" t="s">
        <v>728</v>
      </c>
      <c r="D62" s="669" t="s">
        <v>121</v>
      </c>
      <c r="E62" s="670" t="s">
        <v>1155</v>
      </c>
      <c r="F62" s="730" t="s">
        <v>324</v>
      </c>
      <c r="G62" s="386"/>
      <c r="H62" s="1027"/>
      <c r="I62" s="386"/>
      <c r="J62" s="1027"/>
      <c r="K62" s="1168"/>
      <c r="L62" s="1027"/>
      <c r="M62" s="1168"/>
      <c r="N62" s="1027"/>
      <c r="O62" s="1168"/>
      <c r="P62" s="1027"/>
      <c r="Q62" s="1168"/>
      <c r="R62" s="1027"/>
      <c r="S62" s="1168"/>
      <c r="T62" s="1027"/>
      <c r="U62" s="1168"/>
      <c r="V62" s="1027"/>
      <c r="W62" s="293" t="s">
        <v>892</v>
      </c>
      <c r="AJ62" s="762">
        <v>0</v>
      </c>
    </row>
    <row s="1639" customFormat="1" customHeight="1" ht="45" hidden="1">
      <c r="A63" s="2396"/>
      <c r="B63" s="515" t="s">
        <v>728</v>
      </c>
      <c r="D63" s="669" t="s">
        <v>1156</v>
      </c>
      <c r="E63" s="671" t="s">
        <v>1157</v>
      </c>
      <c r="F63" s="725" t="s">
        <v>324</v>
      </c>
      <c r="G63" s="386"/>
      <c r="H63" s="1027"/>
      <c r="I63" s="386"/>
      <c r="J63" s="1027"/>
      <c r="K63" s="1168"/>
      <c r="L63" s="1027"/>
      <c r="M63" s="1168"/>
      <c r="N63" s="1027"/>
      <c r="O63" s="1168"/>
      <c r="P63" s="1027"/>
      <c r="Q63" s="1168"/>
      <c r="R63" s="1027"/>
      <c r="S63" s="1168"/>
      <c r="T63" s="1027"/>
      <c r="U63" s="1168"/>
      <c r="V63" s="1027"/>
      <c r="W63" s="293" t="s">
        <v>892</v>
      </c>
      <c r="AJ63" s="762">
        <v>0</v>
      </c>
    </row>
    <row s="1639" customFormat="1" customHeight="1" ht="11.549999999999999">
      <c r="A64" s="1037"/>
      <c r="B64" s="522"/>
      <c r="D64" s="1038"/>
      <c r="E64" s="1039"/>
      <c r="K64" s="1639"/>
      <c r="L64" s="1639"/>
      <c r="M64" s="1639"/>
      <c r="N64" s="1639"/>
      <c r="O64" s="1639"/>
      <c r="P64" s="1639"/>
      <c r="Q64" s="1639"/>
      <c r="R64" s="1639"/>
      <c r="S64" s="1639"/>
      <c r="T64" s="1639"/>
      <c r="U64" s="1639"/>
      <c r="V64" s="1639"/>
      <c r="AJ64" s="513">
        <v>11</v>
      </c>
    </row>
    <row s="1639" customFormat="1" customHeight="1" ht="22.5" hidden="1">
      <c r="A65" s="2396" t="s">
        <v>1158</v>
      </c>
      <c r="B65" s="515"/>
      <c r="D65" s="669">
        <v>1</v>
      </c>
      <c r="E65" s="748" t="s">
        <v>1159</v>
      </c>
      <c r="F65" s="744" t="s">
        <v>1070</v>
      </c>
      <c r="G65" s="745"/>
      <c r="H65" s="1033"/>
      <c r="I65" s="745"/>
      <c r="J65" s="1033"/>
      <c r="K65" s="745"/>
      <c r="L65" s="1033"/>
      <c r="M65" s="745"/>
      <c r="N65" s="1033"/>
      <c r="O65" s="745"/>
      <c r="P65" s="1033"/>
      <c r="Q65" s="745"/>
      <c r="R65" s="1033"/>
      <c r="S65" s="745"/>
      <c r="T65" s="1033"/>
      <c r="U65" s="745"/>
      <c r="V65" s="1033"/>
      <c r="W65" s="305" t="s">
        <v>1160</v>
      </c>
      <c r="AJ65" s="762">
        <v>0</v>
      </c>
    </row>
    <row s="1639" customFormat="1" customHeight="1" ht="56.25" hidden="1">
      <c r="A66" s="2396"/>
      <c r="B66" s="515"/>
      <c r="D66" s="747" t="s">
        <v>103</v>
      </c>
      <c r="E66" s="711" t="s">
        <v>1161</v>
      </c>
      <c r="F66" s="664" t="s">
        <v>564</v>
      </c>
      <c r="G66" s="664" t="s">
        <v>564</v>
      </c>
      <c r="H66" s="523"/>
      <c r="I66" s="664" t="s">
        <v>564</v>
      </c>
      <c r="J66" s="523"/>
      <c r="K66" s="2108" t="s">
        <v>564</v>
      </c>
      <c r="L66" s="523"/>
      <c r="M66" s="2108" t="s">
        <v>564</v>
      </c>
      <c r="N66" s="523"/>
      <c r="O66" s="2108" t="s">
        <v>564</v>
      </c>
      <c r="P66" s="523"/>
      <c r="Q66" s="2108" t="s">
        <v>564</v>
      </c>
      <c r="R66" s="523"/>
      <c r="S66" s="2108" t="s">
        <v>564</v>
      </c>
      <c r="T66" s="523"/>
      <c r="U66" s="2108" t="s">
        <v>564</v>
      </c>
      <c r="V66" s="523"/>
      <c r="W66" s="293"/>
      <c r="AJ66" s="762">
        <v>0</v>
      </c>
    </row>
    <row s="1639" customFormat="1" customHeight="1" ht="33.75" hidden="1">
      <c r="A67" s="2396"/>
      <c r="B67" s="515"/>
      <c r="D67" s="747" t="s">
        <v>969</v>
      </c>
      <c r="E67" s="958" t="s">
        <v>1162</v>
      </c>
      <c r="F67" s="664" t="s">
        <v>1126</v>
      </c>
      <c r="G67" s="731"/>
      <c r="H67" s="523"/>
      <c r="I67" s="731"/>
      <c r="J67" s="523"/>
      <c r="K67" s="731"/>
      <c r="L67" s="523"/>
      <c r="M67" s="731"/>
      <c r="N67" s="523"/>
      <c r="O67" s="731"/>
      <c r="P67" s="523"/>
      <c r="Q67" s="731"/>
      <c r="R67" s="523"/>
      <c r="S67" s="731"/>
      <c r="T67" s="523"/>
      <c r="U67" s="731"/>
      <c r="V67" s="523"/>
      <c r="W67" s="293"/>
      <c r="AJ67" s="762">
        <v>0</v>
      </c>
    </row>
    <row s="1639" customFormat="1" customHeight="1" ht="22.5" hidden="1">
      <c r="A68" s="2396"/>
      <c r="B68" s="515"/>
      <c r="D68" s="747" t="s">
        <v>325</v>
      </c>
      <c r="E68" s="958" t="s">
        <v>1163</v>
      </c>
      <c r="F68" s="664" t="s">
        <v>1126</v>
      </c>
      <c r="G68" s="731"/>
      <c r="H68" s="523"/>
      <c r="I68" s="731"/>
      <c r="J68" s="523"/>
      <c r="K68" s="731"/>
      <c r="L68" s="523"/>
      <c r="M68" s="731"/>
      <c r="N68" s="523"/>
      <c r="O68" s="731"/>
      <c r="P68" s="523"/>
      <c r="Q68" s="731"/>
      <c r="R68" s="523"/>
      <c r="S68" s="731"/>
      <c r="T68" s="523"/>
      <c r="U68" s="731"/>
      <c r="V68" s="523"/>
      <c r="W68" s="293"/>
      <c r="AJ68" s="762">
        <v>0</v>
      </c>
    </row>
    <row s="1639" customFormat="1" customHeight="1" ht="22.5" hidden="1">
      <c r="A69" s="2396"/>
      <c r="B69" s="515"/>
      <c r="D69" s="747" t="s">
        <v>328</v>
      </c>
      <c r="E69" s="958" t="s">
        <v>1164</v>
      </c>
      <c r="F69" s="725" t="s">
        <v>576</v>
      </c>
      <c r="G69" s="746"/>
      <c r="H69" s="523"/>
      <c r="I69" s="746"/>
      <c r="J69" s="523"/>
      <c r="K69" s="746"/>
      <c r="L69" s="523"/>
      <c r="M69" s="746"/>
      <c r="N69" s="523"/>
      <c r="O69" s="746"/>
      <c r="P69" s="523"/>
      <c r="Q69" s="746"/>
      <c r="R69" s="523"/>
      <c r="S69" s="746"/>
      <c r="T69" s="523"/>
      <c r="U69" s="746"/>
      <c r="V69" s="523"/>
      <c r="W69" s="293"/>
      <c r="AJ69" s="762">
        <v>0</v>
      </c>
    </row>
    <row s="1639" customFormat="1" customHeight="1" ht="22.5" hidden="1">
      <c r="A70" s="2396"/>
      <c r="B70" s="515"/>
      <c r="D70" s="747" t="s">
        <v>989</v>
      </c>
      <c r="E70" s="958" t="s">
        <v>1165</v>
      </c>
      <c r="F70" s="725" t="s">
        <v>576</v>
      </c>
      <c r="G70" s="746"/>
      <c r="H70" s="523"/>
      <c r="I70" s="746"/>
      <c r="J70" s="523"/>
      <c r="K70" s="746"/>
      <c r="L70" s="523"/>
      <c r="M70" s="746"/>
      <c r="N70" s="523"/>
      <c r="O70" s="746"/>
      <c r="P70" s="523"/>
      <c r="Q70" s="746"/>
      <c r="R70" s="523"/>
      <c r="S70" s="746"/>
      <c r="T70" s="523"/>
      <c r="U70" s="746"/>
      <c r="V70" s="523"/>
      <c r="W70" s="293"/>
      <c r="AJ70" s="762">
        <v>0</v>
      </c>
    </row>
    <row s="1639" customFormat="1" customHeight="1" ht="22.5" hidden="1">
      <c r="A71" s="2396"/>
      <c r="B71" s="515"/>
      <c r="D71" s="669" t="s">
        <v>90</v>
      </c>
      <c r="E71" s="670" t="s">
        <v>1166</v>
      </c>
      <c r="F71" s="664" t="s">
        <v>1126</v>
      </c>
      <c r="G71" s="561"/>
      <c r="H71" s="1034"/>
      <c r="I71" s="561"/>
      <c r="J71" s="1034"/>
      <c r="K71" s="561"/>
      <c r="L71" s="1034"/>
      <c r="M71" s="561"/>
      <c r="N71" s="1034"/>
      <c r="O71" s="561"/>
      <c r="P71" s="1034"/>
      <c r="Q71" s="561"/>
      <c r="R71" s="1034"/>
      <c r="S71" s="561"/>
      <c r="T71" s="1034"/>
      <c r="U71" s="561"/>
      <c r="V71" s="1034"/>
      <c r="W71" s="306"/>
      <c r="AJ71" s="762">
        <v>0</v>
      </c>
    </row>
    <row s="1639" customFormat="1" customHeight="1" ht="56.25" hidden="1">
      <c r="A72" s="2396"/>
      <c r="B72" s="515"/>
      <c r="D72" s="669" t="s">
        <v>91</v>
      </c>
      <c r="E72" s="670" t="s">
        <v>1167</v>
      </c>
      <c r="F72" s="725" t="s">
        <v>576</v>
      </c>
      <c r="G72" s="746"/>
      <c r="H72" s="1027"/>
      <c r="I72" s="746"/>
      <c r="J72" s="1027"/>
      <c r="K72" s="746"/>
      <c r="L72" s="1027"/>
      <c r="M72" s="746"/>
      <c r="N72" s="1027"/>
      <c r="O72" s="746"/>
      <c r="P72" s="1027"/>
      <c r="Q72" s="746"/>
      <c r="R72" s="1027"/>
      <c r="S72" s="746"/>
      <c r="T72" s="1027"/>
      <c r="U72" s="746"/>
      <c r="V72" s="1027"/>
      <c r="W72" s="306"/>
      <c r="AJ72" s="762">
        <v>0</v>
      </c>
    </row>
    <row s="1639" customFormat="1" customHeight="1" ht="33.75" hidden="1">
      <c r="A73" s="2396"/>
      <c r="B73" s="515"/>
      <c r="D73" s="669" t="s">
        <v>120</v>
      </c>
      <c r="E73" s="670" t="s">
        <v>1168</v>
      </c>
      <c r="F73" s="730" t="s">
        <v>1080</v>
      </c>
      <c r="G73" s="672"/>
      <c r="H73" s="1027"/>
      <c r="I73" s="672"/>
      <c r="J73" s="1027"/>
      <c r="K73" s="1173"/>
      <c r="L73" s="1027"/>
      <c r="M73" s="1173"/>
      <c r="N73" s="1027"/>
      <c r="O73" s="1173"/>
      <c r="P73" s="1027"/>
      <c r="Q73" s="1173"/>
      <c r="R73" s="1027"/>
      <c r="S73" s="1173"/>
      <c r="T73" s="1027"/>
      <c r="U73" s="1173"/>
      <c r="V73" s="1027"/>
      <c r="W73" s="293"/>
      <c r="AJ73" s="762">
        <v>0</v>
      </c>
    </row>
    <row s="1639" customFormat="1" customHeight="1" ht="22.5" hidden="1">
      <c r="A74" s="2396"/>
      <c r="B74" s="515" t="s">
        <v>728</v>
      </c>
      <c r="D74" s="669" t="s">
        <v>92</v>
      </c>
      <c r="E74" s="670" t="s">
        <v>1169</v>
      </c>
      <c r="F74" s="730" t="s">
        <v>324</v>
      </c>
      <c r="G74" s="386"/>
      <c r="H74" s="1027"/>
      <c r="I74" s="386"/>
      <c r="J74" s="1027"/>
      <c r="K74" s="1168"/>
      <c r="L74" s="1027"/>
      <c r="M74" s="1168"/>
      <c r="N74" s="1027"/>
      <c r="O74" s="1168"/>
      <c r="P74" s="1027"/>
      <c r="Q74" s="1168"/>
      <c r="R74" s="1027"/>
      <c r="S74" s="1168"/>
      <c r="T74" s="1027"/>
      <c r="U74" s="1168"/>
      <c r="V74" s="1027"/>
      <c r="W74" s="293" t="s">
        <v>892</v>
      </c>
      <c r="AJ74" s="762">
        <v>0</v>
      </c>
    </row>
    <row s="1639" customFormat="1" customHeight="1" ht="45" hidden="1">
      <c r="A75" s="2396"/>
      <c r="B75" s="515" t="s">
        <v>728</v>
      </c>
      <c r="D75" s="669" t="s">
        <v>913</v>
      </c>
      <c r="E75" s="671" t="s">
        <v>1170</v>
      </c>
      <c r="F75" s="725" t="s">
        <v>324</v>
      </c>
      <c r="G75" s="386"/>
      <c r="H75" s="1027"/>
      <c r="I75" s="386"/>
      <c r="J75" s="1027"/>
      <c r="K75" s="1168"/>
      <c r="L75" s="1027"/>
      <c r="M75" s="1168"/>
      <c r="N75" s="1027"/>
      <c r="O75" s="1168"/>
      <c r="P75" s="1027"/>
      <c r="Q75" s="1168"/>
      <c r="R75" s="1027"/>
      <c r="S75" s="1168"/>
      <c r="T75" s="1027"/>
      <c r="U75" s="1168"/>
      <c r="V75" s="1027"/>
      <c r="W75" s="293" t="s">
        <v>892</v>
      </c>
      <c r="AJ75" s="762">
        <v>0</v>
      </c>
    </row>
    <row s="1639" customFormat="1" customHeight="1" ht="11.549999999999999">
      <c r="A76" s="1037"/>
      <c r="B76" s="522"/>
      <c r="D76" s="1038"/>
      <c r="E76" s="1039"/>
      <c r="K76" s="1639"/>
      <c r="L76" s="1639"/>
      <c r="M76" s="1639"/>
      <c r="N76" s="1639"/>
      <c r="O76" s="1639"/>
      <c r="P76" s="1639"/>
      <c r="Q76" s="1639"/>
      <c r="R76" s="1639"/>
      <c r="S76" s="1639"/>
      <c r="T76" s="1639"/>
      <c r="U76" s="1639"/>
      <c r="V76" s="1639"/>
      <c r="AJ76" s="513">
        <v>11</v>
      </c>
    </row>
    <row s="1639" customFormat="1" customHeight="1" ht="11.25" hidden="1">
      <c r="A77" s="2396" t="s">
        <v>1171</v>
      </c>
      <c r="B77" s="515"/>
      <c r="D77" s="669">
        <v>1</v>
      </c>
      <c r="E77" s="670" t="s">
        <v>1172</v>
      </c>
      <c r="F77" s="725" t="s">
        <v>1070</v>
      </c>
      <c r="G77" s="728"/>
      <c r="H77" s="1027"/>
      <c r="I77" s="728"/>
      <c r="J77" s="1027"/>
      <c r="K77" s="728"/>
      <c r="L77" s="1027"/>
      <c r="M77" s="728"/>
      <c r="N77" s="1027"/>
      <c r="O77" s="728"/>
      <c r="P77" s="1027"/>
      <c r="Q77" s="728"/>
      <c r="R77" s="1027"/>
      <c r="S77" s="728"/>
      <c r="T77" s="1027"/>
      <c r="U77" s="728"/>
      <c r="V77" s="1027"/>
      <c r="W77" s="293" t="s">
        <v>1173</v>
      </c>
      <c r="AJ77" s="762">
        <v>0</v>
      </c>
    </row>
    <row s="1639" customFormat="1" customHeight="1" ht="11.25" hidden="1">
      <c r="A78" s="2396"/>
      <c r="B78" s="515"/>
      <c r="D78" s="669" t="s">
        <v>103</v>
      </c>
      <c r="E78" s="670" t="s">
        <v>1174</v>
      </c>
      <c r="F78" s="725" t="s">
        <v>1070</v>
      </c>
      <c r="G78" s="728"/>
      <c r="H78" s="1027"/>
      <c r="I78" s="728"/>
      <c r="J78" s="1027"/>
      <c r="K78" s="728"/>
      <c r="L78" s="1027"/>
      <c r="M78" s="728"/>
      <c r="N78" s="1027"/>
      <c r="O78" s="728"/>
      <c r="P78" s="1027"/>
      <c r="Q78" s="728"/>
      <c r="R78" s="1027"/>
      <c r="S78" s="728"/>
      <c r="T78" s="1027"/>
      <c r="U78" s="728"/>
      <c r="V78" s="1027"/>
      <c r="W78" s="293" t="s">
        <v>1175</v>
      </c>
      <c r="AJ78" s="762">
        <v>0</v>
      </c>
    </row>
    <row s="1639" customFormat="1" customHeight="1" ht="22.5" hidden="1">
      <c r="A79" s="2396"/>
      <c r="B79" s="515"/>
      <c r="D79" s="669" t="s">
        <v>90</v>
      </c>
      <c r="E79" s="726" t="s">
        <v>1176</v>
      </c>
      <c r="F79" s="664" t="s">
        <v>1123</v>
      </c>
      <c r="G79" s="728"/>
      <c r="H79" s="1027"/>
      <c r="I79" s="728"/>
      <c r="J79" s="1027"/>
      <c r="K79" s="728"/>
      <c r="L79" s="1027"/>
      <c r="M79" s="728"/>
      <c r="N79" s="1027"/>
      <c r="O79" s="728"/>
      <c r="P79" s="1027"/>
      <c r="Q79" s="728"/>
      <c r="R79" s="1027"/>
      <c r="S79" s="728"/>
      <c r="T79" s="1027"/>
      <c r="U79" s="728"/>
      <c r="V79" s="1027"/>
      <c r="W79" s="293" t="s">
        <v>1177</v>
      </c>
      <c r="AJ79" s="762">
        <v>0</v>
      </c>
    </row>
    <row s="1639" customFormat="1" customHeight="1" ht="11.25" hidden="1">
      <c r="A80" s="2396"/>
      <c r="B80" s="515"/>
      <c r="D80" s="669" t="s">
        <v>342</v>
      </c>
      <c r="E80" s="727" t="s">
        <v>1178</v>
      </c>
      <c r="F80" s="664" t="s">
        <v>1123</v>
      </c>
      <c r="G80" s="728"/>
      <c r="H80" s="1027"/>
      <c r="I80" s="728"/>
      <c r="J80" s="1027"/>
      <c r="K80" s="728"/>
      <c r="L80" s="1027"/>
      <c r="M80" s="728"/>
      <c r="N80" s="1027"/>
      <c r="O80" s="728"/>
      <c r="P80" s="1027"/>
      <c r="Q80" s="728"/>
      <c r="R80" s="1027"/>
      <c r="S80" s="728"/>
      <c r="T80" s="1027"/>
      <c r="U80" s="728"/>
      <c r="V80" s="1027"/>
      <c r="W80" s="293"/>
      <c r="AJ80" s="762">
        <v>0</v>
      </c>
    </row>
    <row s="1639" customFormat="1" customHeight="1" ht="11.25" hidden="1">
      <c r="A81" s="2396"/>
      <c r="B81" s="515"/>
      <c r="D81" s="669" t="s">
        <v>350</v>
      </c>
      <c r="E81" s="727" t="s">
        <v>1179</v>
      </c>
      <c r="F81" s="664" t="s">
        <v>1123</v>
      </c>
      <c r="G81" s="728"/>
      <c r="H81" s="1027"/>
      <c r="I81" s="728"/>
      <c r="J81" s="1027"/>
      <c r="K81" s="728"/>
      <c r="L81" s="1027"/>
      <c r="M81" s="728"/>
      <c r="N81" s="1027"/>
      <c r="O81" s="728"/>
      <c r="P81" s="1027"/>
      <c r="Q81" s="728"/>
      <c r="R81" s="1027"/>
      <c r="S81" s="728"/>
      <c r="T81" s="1027"/>
      <c r="U81" s="728"/>
      <c r="V81" s="1027"/>
      <c r="W81" s="293"/>
      <c r="AJ81" s="762">
        <v>0</v>
      </c>
    </row>
    <row s="1639" customFormat="1" customHeight="1" ht="11.25" hidden="1">
      <c r="A82" s="2396"/>
      <c r="B82" s="515"/>
      <c r="D82" s="669" t="s">
        <v>352</v>
      </c>
      <c r="E82" s="727" t="s">
        <v>1180</v>
      </c>
      <c r="F82" s="664" t="s">
        <v>1123</v>
      </c>
      <c r="G82" s="728"/>
      <c r="H82" s="1027"/>
      <c r="I82" s="728"/>
      <c r="J82" s="1027"/>
      <c r="K82" s="728"/>
      <c r="L82" s="1027"/>
      <c r="M82" s="728"/>
      <c r="N82" s="1027"/>
      <c r="O82" s="728"/>
      <c r="P82" s="1027"/>
      <c r="Q82" s="728"/>
      <c r="R82" s="1027"/>
      <c r="S82" s="728"/>
      <c r="T82" s="1027"/>
      <c r="U82" s="728"/>
      <c r="V82" s="1027"/>
      <c r="W82" s="293"/>
      <c r="AJ82" s="762">
        <v>0</v>
      </c>
    </row>
    <row s="1639" customFormat="1" customHeight="1" ht="11.25" hidden="1">
      <c r="A83" s="2396"/>
      <c r="B83" s="515"/>
      <c r="D83" s="669" t="s">
        <v>354</v>
      </c>
      <c r="E83" s="727" t="s">
        <v>1181</v>
      </c>
      <c r="F83" s="664" t="s">
        <v>1123</v>
      </c>
      <c r="G83" s="728"/>
      <c r="H83" s="1027"/>
      <c r="I83" s="728"/>
      <c r="J83" s="1027"/>
      <c r="K83" s="728"/>
      <c r="L83" s="1027"/>
      <c r="M83" s="728"/>
      <c r="N83" s="1027"/>
      <c r="O83" s="728"/>
      <c r="P83" s="1027"/>
      <c r="Q83" s="728"/>
      <c r="R83" s="1027"/>
      <c r="S83" s="728"/>
      <c r="T83" s="1027"/>
      <c r="U83" s="728"/>
      <c r="V83" s="1027"/>
      <c r="W83" s="293"/>
      <c r="AJ83" s="762">
        <v>0</v>
      </c>
    </row>
    <row s="1639" customFormat="1" customHeight="1" ht="11.25" hidden="1">
      <c r="A84" s="2396"/>
      <c r="B84" s="515"/>
      <c r="D84" s="669" t="s">
        <v>1182</v>
      </c>
      <c r="E84" s="727" t="s">
        <v>1183</v>
      </c>
      <c r="F84" s="664" t="s">
        <v>1123</v>
      </c>
      <c r="G84" s="728"/>
      <c r="H84" s="1027"/>
      <c r="I84" s="728"/>
      <c r="J84" s="1027"/>
      <c r="K84" s="728"/>
      <c r="L84" s="1027"/>
      <c r="M84" s="728"/>
      <c r="N84" s="1027"/>
      <c r="O84" s="728"/>
      <c r="P84" s="1027"/>
      <c r="Q84" s="728"/>
      <c r="R84" s="1027"/>
      <c r="S84" s="728"/>
      <c r="T84" s="1027"/>
      <c r="U84" s="728"/>
      <c r="V84" s="1027"/>
      <c r="W84" s="293"/>
      <c r="AJ84" s="762">
        <v>0</v>
      </c>
    </row>
    <row s="1639" customFormat="1" customHeight="1" ht="11.25" hidden="1">
      <c r="A85" s="2396"/>
      <c r="B85" s="515"/>
      <c r="D85" s="669" t="s">
        <v>1184</v>
      </c>
      <c r="E85" s="727" t="s">
        <v>1185</v>
      </c>
      <c r="F85" s="664" t="s">
        <v>1123</v>
      </c>
      <c r="G85" s="728"/>
      <c r="H85" s="1027"/>
      <c r="I85" s="728"/>
      <c r="J85" s="1027"/>
      <c r="K85" s="728"/>
      <c r="L85" s="1027"/>
      <c r="M85" s="728"/>
      <c r="N85" s="1027"/>
      <c r="O85" s="728"/>
      <c r="P85" s="1027"/>
      <c r="Q85" s="728"/>
      <c r="R85" s="1027"/>
      <c r="S85" s="728"/>
      <c r="T85" s="1027"/>
      <c r="U85" s="728"/>
      <c r="V85" s="1027"/>
      <c r="W85" s="293"/>
      <c r="AJ85" s="762">
        <v>0</v>
      </c>
    </row>
    <row s="1639" customFormat="1" customHeight="1" ht="11.25" hidden="1">
      <c r="A86" s="2396"/>
      <c r="B86" s="515"/>
      <c r="D86" s="669" t="s">
        <v>1186</v>
      </c>
      <c r="E86" s="727" t="s">
        <v>1187</v>
      </c>
      <c r="F86" s="664" t="s">
        <v>1123</v>
      </c>
      <c r="G86" s="728"/>
      <c r="H86" s="1027"/>
      <c r="I86" s="728"/>
      <c r="J86" s="1027"/>
      <c r="K86" s="728"/>
      <c r="L86" s="1027"/>
      <c r="M86" s="728"/>
      <c r="N86" s="1027"/>
      <c r="O86" s="728"/>
      <c r="P86" s="1027"/>
      <c r="Q86" s="728"/>
      <c r="R86" s="1027"/>
      <c r="S86" s="728"/>
      <c r="T86" s="1027"/>
      <c r="U86" s="728"/>
      <c r="V86" s="1027"/>
      <c r="W86" s="293"/>
      <c r="AJ86" s="762">
        <v>0</v>
      </c>
    </row>
    <row s="1639" customFormat="1" customHeight="1" ht="45" hidden="1">
      <c r="A87" s="2396"/>
      <c r="B87" s="515"/>
      <c r="D87" s="669" t="s">
        <v>91</v>
      </c>
      <c r="E87" s="670" t="s">
        <v>1188</v>
      </c>
      <c r="F87" s="664" t="s">
        <v>1123</v>
      </c>
      <c r="G87" s="728"/>
      <c r="H87" s="1027"/>
      <c r="I87" s="728"/>
      <c r="J87" s="1027"/>
      <c r="K87" s="728"/>
      <c r="L87" s="1027"/>
      <c r="M87" s="728"/>
      <c r="N87" s="1027"/>
      <c r="O87" s="728"/>
      <c r="P87" s="1027"/>
      <c r="Q87" s="728"/>
      <c r="R87" s="1027"/>
      <c r="S87" s="728"/>
      <c r="T87" s="1027"/>
      <c r="U87" s="728"/>
      <c r="V87" s="1027"/>
      <c r="W87" s="293" t="s">
        <v>1189</v>
      </c>
      <c r="AJ87" s="762">
        <v>0</v>
      </c>
    </row>
    <row s="1639" customFormat="1" customHeight="1" ht="11.25" hidden="1">
      <c r="A88" s="2396"/>
      <c r="B88" s="515"/>
      <c r="D88" s="669" t="s">
        <v>1014</v>
      </c>
      <c r="E88" s="727" t="s">
        <v>1178</v>
      </c>
      <c r="F88" s="664" t="s">
        <v>1123</v>
      </c>
      <c r="G88" s="728"/>
      <c r="H88" s="1027"/>
      <c r="I88" s="728"/>
      <c r="J88" s="1027"/>
      <c r="K88" s="728"/>
      <c r="L88" s="1027"/>
      <c r="M88" s="728"/>
      <c r="N88" s="1027"/>
      <c r="O88" s="728"/>
      <c r="P88" s="1027"/>
      <c r="Q88" s="728"/>
      <c r="R88" s="1027"/>
      <c r="S88" s="728"/>
      <c r="T88" s="1027"/>
      <c r="U88" s="728"/>
      <c r="V88" s="1027"/>
      <c r="W88" s="293"/>
      <c r="AJ88" s="762">
        <v>0</v>
      </c>
    </row>
    <row s="1639" customFormat="1" customHeight="1" ht="11.25" hidden="1">
      <c r="A89" s="2396"/>
      <c r="B89" s="515"/>
      <c r="D89" s="669" t="s">
        <v>1056</v>
      </c>
      <c r="E89" s="727" t="s">
        <v>1179</v>
      </c>
      <c r="F89" s="664" t="s">
        <v>1123</v>
      </c>
      <c r="G89" s="728"/>
      <c r="H89" s="1027"/>
      <c r="I89" s="728"/>
      <c r="J89" s="1027"/>
      <c r="K89" s="728"/>
      <c r="L89" s="1027"/>
      <c r="M89" s="728"/>
      <c r="N89" s="1027"/>
      <c r="O89" s="728"/>
      <c r="P89" s="1027"/>
      <c r="Q89" s="728"/>
      <c r="R89" s="1027"/>
      <c r="S89" s="728"/>
      <c r="T89" s="1027"/>
      <c r="U89" s="728"/>
      <c r="V89" s="1027"/>
      <c r="W89" s="293"/>
      <c r="AJ89" s="762">
        <v>0</v>
      </c>
    </row>
    <row s="1639" customFormat="1" customHeight="1" ht="11.25" hidden="1">
      <c r="A90" s="2396"/>
      <c r="B90" s="515"/>
      <c r="D90" s="669" t="s">
        <v>1059</v>
      </c>
      <c r="E90" s="727" t="s">
        <v>1180</v>
      </c>
      <c r="F90" s="664" t="s">
        <v>1123</v>
      </c>
      <c r="G90" s="728"/>
      <c r="H90" s="1027"/>
      <c r="I90" s="728"/>
      <c r="J90" s="1027"/>
      <c r="K90" s="728"/>
      <c r="L90" s="1027"/>
      <c r="M90" s="728"/>
      <c r="N90" s="1027"/>
      <c r="O90" s="728"/>
      <c r="P90" s="1027"/>
      <c r="Q90" s="728"/>
      <c r="R90" s="1027"/>
      <c r="S90" s="728"/>
      <c r="T90" s="1027"/>
      <c r="U90" s="728"/>
      <c r="V90" s="1027"/>
      <c r="W90" s="293"/>
      <c r="AJ90" s="762">
        <v>0</v>
      </c>
    </row>
    <row s="1639" customFormat="1" customHeight="1" ht="11.25" hidden="1">
      <c r="A91" s="2396"/>
      <c r="B91" s="515"/>
      <c r="D91" s="669" t="s">
        <v>1141</v>
      </c>
      <c r="E91" s="727" t="s">
        <v>1181</v>
      </c>
      <c r="F91" s="664" t="s">
        <v>1123</v>
      </c>
      <c r="G91" s="728"/>
      <c r="H91" s="1027"/>
      <c r="I91" s="728"/>
      <c r="J91" s="1027"/>
      <c r="K91" s="728"/>
      <c r="L91" s="1027"/>
      <c r="M91" s="728"/>
      <c r="N91" s="1027"/>
      <c r="O91" s="728"/>
      <c r="P91" s="1027"/>
      <c r="Q91" s="728"/>
      <c r="R91" s="1027"/>
      <c r="S91" s="728"/>
      <c r="T91" s="1027"/>
      <c r="U91" s="728"/>
      <c r="V91" s="1027"/>
      <c r="W91" s="293"/>
      <c r="AJ91" s="762">
        <v>0</v>
      </c>
    </row>
    <row s="1639" customFormat="1" customHeight="1" ht="11.25" hidden="1">
      <c r="A92" s="2396"/>
      <c r="B92" s="515"/>
      <c r="D92" s="669" t="s">
        <v>1143</v>
      </c>
      <c r="E92" s="727" t="s">
        <v>1183</v>
      </c>
      <c r="F92" s="664" t="s">
        <v>1123</v>
      </c>
      <c r="G92" s="728"/>
      <c r="H92" s="1027"/>
      <c r="I92" s="728"/>
      <c r="J92" s="1027"/>
      <c r="K92" s="728"/>
      <c r="L92" s="1027"/>
      <c r="M92" s="728"/>
      <c r="N92" s="1027"/>
      <c r="O92" s="728"/>
      <c r="P92" s="1027"/>
      <c r="Q92" s="728"/>
      <c r="R92" s="1027"/>
      <c r="S92" s="728"/>
      <c r="T92" s="1027"/>
      <c r="U92" s="728"/>
      <c r="V92" s="1027"/>
      <c r="W92" s="293"/>
      <c r="AJ92" s="762">
        <v>0</v>
      </c>
    </row>
    <row s="1639" customFormat="1" customHeight="1" ht="11.25" hidden="1">
      <c r="A93" s="2396"/>
      <c r="B93" s="515"/>
      <c r="D93" s="669" t="s">
        <v>1190</v>
      </c>
      <c r="E93" s="727" t="s">
        <v>1185</v>
      </c>
      <c r="F93" s="664" t="s">
        <v>1123</v>
      </c>
      <c r="G93" s="728"/>
      <c r="H93" s="1027"/>
      <c r="I93" s="728"/>
      <c r="J93" s="1027"/>
      <c r="K93" s="728"/>
      <c r="L93" s="1027"/>
      <c r="M93" s="728"/>
      <c r="N93" s="1027"/>
      <c r="O93" s="728"/>
      <c r="P93" s="1027"/>
      <c r="Q93" s="728"/>
      <c r="R93" s="1027"/>
      <c r="S93" s="728"/>
      <c r="T93" s="1027"/>
      <c r="U93" s="728"/>
      <c r="V93" s="1027"/>
      <c r="W93" s="293"/>
      <c r="AJ93" s="762">
        <v>0</v>
      </c>
    </row>
    <row s="1639" customFormat="1" customHeight="1" ht="11.25" hidden="1">
      <c r="A94" s="2396"/>
      <c r="B94" s="515"/>
      <c r="D94" s="669" t="s">
        <v>1191</v>
      </c>
      <c r="E94" s="727" t="s">
        <v>1187</v>
      </c>
      <c r="F94" s="664" t="s">
        <v>1123</v>
      </c>
      <c r="G94" s="728"/>
      <c r="H94" s="1027"/>
      <c r="I94" s="728"/>
      <c r="J94" s="1027"/>
      <c r="K94" s="728"/>
      <c r="L94" s="1027"/>
      <c r="M94" s="728"/>
      <c r="N94" s="1027"/>
      <c r="O94" s="728"/>
      <c r="P94" s="1027"/>
      <c r="Q94" s="728"/>
      <c r="R94" s="1027"/>
      <c r="S94" s="728"/>
      <c r="T94" s="1027"/>
      <c r="U94" s="728"/>
      <c r="V94" s="1027"/>
      <c r="W94" s="293"/>
      <c r="AJ94" s="762">
        <v>0</v>
      </c>
    </row>
    <row s="1639" customFormat="1" customHeight="1" ht="24.75" hidden="1">
      <c r="A95" s="2396"/>
      <c r="B95" s="515"/>
      <c r="D95" s="669" t="s">
        <v>120</v>
      </c>
      <c r="E95" s="670" t="s">
        <v>1192</v>
      </c>
      <c r="F95" s="729" t="s">
        <v>576</v>
      </c>
      <c r="G95" s="731"/>
      <c r="H95" s="1027"/>
      <c r="I95" s="731"/>
      <c r="J95" s="1027"/>
      <c r="K95" s="731"/>
      <c r="L95" s="1027"/>
      <c r="M95" s="731"/>
      <c r="N95" s="1027"/>
      <c r="O95" s="731"/>
      <c r="P95" s="1027"/>
      <c r="Q95" s="731"/>
      <c r="R95" s="1027"/>
      <c r="S95" s="731"/>
      <c r="T95" s="1027"/>
      <c r="U95" s="731"/>
      <c r="V95" s="1027"/>
      <c r="W95" s="293" t="s">
        <v>1193</v>
      </c>
      <c r="AJ95" s="762">
        <v>0</v>
      </c>
    </row>
    <row s="1639" customFormat="1" customHeight="1" ht="33.75" hidden="1">
      <c r="A96" s="2396"/>
      <c r="B96" s="515"/>
      <c r="D96" s="669" t="s">
        <v>92</v>
      </c>
      <c r="E96" s="670" t="s">
        <v>1194</v>
      </c>
      <c r="F96" s="730" t="s">
        <v>1080</v>
      </c>
      <c r="G96" s="732"/>
      <c r="H96" s="1027"/>
      <c r="I96" s="732"/>
      <c r="J96" s="1027"/>
      <c r="K96" s="732"/>
      <c r="L96" s="1027"/>
      <c r="M96" s="732"/>
      <c r="N96" s="1027"/>
      <c r="O96" s="732"/>
      <c r="P96" s="1027"/>
      <c r="Q96" s="732"/>
      <c r="R96" s="1027"/>
      <c r="S96" s="732"/>
      <c r="T96" s="1027"/>
      <c r="U96" s="732"/>
      <c r="V96" s="1027"/>
      <c r="W96" s="293"/>
      <c r="AJ96" s="762">
        <v>0</v>
      </c>
    </row>
    <row s="1639" customFormat="1" customHeight="1" ht="22.5" hidden="1">
      <c r="A97" s="2396"/>
      <c r="B97" s="515" t="s">
        <v>728</v>
      </c>
      <c r="D97" s="669" t="s">
        <v>93</v>
      </c>
      <c r="E97" s="670" t="s">
        <v>1195</v>
      </c>
      <c r="F97" s="730" t="s">
        <v>324</v>
      </c>
      <c r="G97" s="389"/>
      <c r="H97" s="1027"/>
      <c r="I97" s="389"/>
      <c r="J97" s="1027"/>
      <c r="K97" s="389"/>
      <c r="L97" s="1027"/>
      <c r="M97" s="389"/>
      <c r="N97" s="1027"/>
      <c r="O97" s="389"/>
      <c r="P97" s="1027"/>
      <c r="Q97" s="389"/>
      <c r="R97" s="1027"/>
      <c r="S97" s="389"/>
      <c r="T97" s="1027"/>
      <c r="U97" s="389"/>
      <c r="V97" s="1027"/>
      <c r="W97" s="293" t="s">
        <v>892</v>
      </c>
      <c r="AJ97" s="762">
        <v>0</v>
      </c>
    </row>
    <row s="1639" customFormat="1" customHeight="1" ht="45" hidden="1">
      <c r="A98" s="2396"/>
      <c r="B98" s="515" t="s">
        <v>728</v>
      </c>
      <c r="D98" s="669" t="s">
        <v>1196</v>
      </c>
      <c r="E98" s="671" t="s">
        <v>1197</v>
      </c>
      <c r="F98" s="725" t="s">
        <v>324</v>
      </c>
      <c r="G98" s="389"/>
      <c r="H98" s="1027"/>
      <c r="I98" s="389"/>
      <c r="J98" s="1027"/>
      <c r="K98" s="389"/>
      <c r="L98" s="1027"/>
      <c r="M98" s="389"/>
      <c r="N98" s="1027"/>
      <c r="O98" s="389"/>
      <c r="P98" s="1027"/>
      <c r="Q98" s="389"/>
      <c r="R98" s="1027"/>
      <c r="S98" s="389"/>
      <c r="T98" s="1027"/>
      <c r="U98" s="389"/>
      <c r="V98" s="1027"/>
      <c r="W98" s="293" t="s">
        <v>892</v>
      </c>
      <c r="AJ98" s="762">
        <v>0</v>
      </c>
    </row>
    <row s="1639" customFormat="1" customHeight="1" ht="95.25" hidden="1">
      <c r="A99" s="2396"/>
      <c r="B99" s="515" t="s">
        <v>728</v>
      </c>
      <c r="D99" s="669" t="s">
        <v>121</v>
      </c>
      <c r="E99" s="670" t="s">
        <v>1198</v>
      </c>
      <c r="F99" s="725" t="s">
        <v>324</v>
      </c>
      <c r="G99" s="389"/>
      <c r="H99" s="1027"/>
      <c r="I99" s="389"/>
      <c r="J99" s="1027"/>
      <c r="K99" s="389"/>
      <c r="L99" s="1027"/>
      <c r="M99" s="389"/>
      <c r="N99" s="1027"/>
      <c r="O99" s="389"/>
      <c r="P99" s="1027"/>
      <c r="Q99" s="389"/>
      <c r="R99" s="1027"/>
      <c r="S99" s="389"/>
      <c r="T99" s="1027"/>
      <c r="U99" s="389"/>
      <c r="V99" s="1027"/>
      <c r="W99" s="293" t="s">
        <v>892</v>
      </c>
      <c r="AJ99" s="762">
        <v>0</v>
      </c>
    </row>
    <row s="1639" customFormat="1" customHeight="1" ht="22.5" hidden="1">
      <c r="A100" s="2396"/>
      <c r="B100" s="515" t="s">
        <v>728</v>
      </c>
      <c r="D100" s="669" t="s">
        <v>168</v>
      </c>
      <c r="E100" s="670" t="s">
        <v>1199</v>
      </c>
      <c r="F100" s="725" t="s">
        <v>324</v>
      </c>
      <c r="G100" s="389"/>
      <c r="H100" s="1027"/>
      <c r="I100" s="389"/>
      <c r="J100" s="1027"/>
      <c r="K100" s="389"/>
      <c r="L100" s="1027"/>
      <c r="M100" s="389"/>
      <c r="N100" s="1027"/>
      <c r="O100" s="389"/>
      <c r="P100" s="1027"/>
      <c r="Q100" s="389"/>
      <c r="R100" s="1027"/>
      <c r="S100" s="389"/>
      <c r="T100" s="1027"/>
      <c r="U100" s="389"/>
      <c r="V100" s="1027"/>
      <c r="W100" s="293" t="s">
        <v>892</v>
      </c>
      <c r="AJ100" s="762">
        <v>0</v>
      </c>
    </row>
    <row s="1639" customFormat="1" customHeight="1" ht="11.549999999999999">
      <c r="A101" s="1037"/>
      <c r="B101" s="522"/>
      <c r="D101" s="1038"/>
      <c r="E101" s="1039"/>
      <c r="K101" s="1639"/>
      <c r="L101" s="1639"/>
      <c r="M101" s="1639"/>
      <c r="N101" s="1639"/>
      <c r="O101" s="1639"/>
      <c r="P101" s="1639"/>
      <c r="Q101" s="1639"/>
      <c r="R101" s="1639"/>
      <c r="S101" s="1639"/>
      <c r="T101" s="1639"/>
      <c r="U101" s="1639"/>
      <c r="V101" s="1639"/>
      <c r="AJ101" s="513">
        <v>11</v>
      </c>
    </row>
    <row customHeight="1" ht="22.5" hidden="1">
      <c r="A102" s="540" t="s">
        <v>82</v>
      </c>
      <c r="B102" s="515">
        <v>0</v>
      </c>
      <c r="C102" s="509">
        <v>3</v>
      </c>
      <c r="D102" s="509">
        <v>7</v>
      </c>
      <c r="E102" s="509">
        <v>69</v>
      </c>
      <c r="F102" s="509">
        <v>10</v>
      </c>
      <c r="G102" s="509">
        <v>0</v>
      </c>
      <c r="H102" s="509">
        <v>0</v>
      </c>
      <c r="I102" s="762">
        <v>43</v>
      </c>
      <c r="J102" s="762">
        <v>43</v>
      </c>
      <c r="K102" s="1639">
        <v>0</v>
      </c>
      <c r="L102" s="1639">
        <v>0</v>
      </c>
      <c r="M102" s="1639">
        <v>0</v>
      </c>
      <c r="N102" s="1639">
        <v>0</v>
      </c>
      <c r="O102" s="1639">
        <v>0</v>
      </c>
      <c r="P102" s="1639">
        <v>0</v>
      </c>
      <c r="Q102" s="1639">
        <v>0</v>
      </c>
      <c r="R102" s="1639">
        <v>0</v>
      </c>
      <c r="S102" s="1639">
        <v>0</v>
      </c>
      <c r="T102" s="1639">
        <v>0</v>
      </c>
      <c r="U102" s="1639">
        <v>0</v>
      </c>
      <c r="V102" s="1639">
        <v>0</v>
      </c>
      <c r="W102" s="509">
        <v>73</v>
      </c>
      <c r="X102" s="509">
        <v>3</v>
      </c>
      <c r="Y102" s="509">
        <v>10</v>
      </c>
      <c r="Z102" s="509">
        <v>10</v>
      </c>
      <c r="AA102" s="509">
        <v>10</v>
      </c>
      <c r="AB102" s="509">
        <v>10</v>
      </c>
      <c r="AC102" s="509">
        <v>10</v>
      </c>
      <c r="AD102" s="509">
        <v>10</v>
      </c>
      <c r="AE102" s="509">
        <v>10</v>
      </c>
      <c r="AF102" s="509">
        <v>10</v>
      </c>
      <c r="AG102" s="509">
        <v>10</v>
      </c>
      <c r="AH102" s="509">
        <v>10</v>
      </c>
      <c r="AI102" s="509">
        <v>10</v>
      </c>
      <c r="AJ102" s="509">
        <v>23</v>
      </c>
    </row>
  </sheetData>
  <sheetProtection formatColumns="0" formatRows="0" autoFilter="0" sort="0" insertRows="0" insertColumns="1" deleteRows="0" deleteColumns="0"/>
  <mergeCells count="36">
    <mergeCell ref="D3:F3"/>
    <mergeCell ref="W7:W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G62:G63 G74:G75 G97:G100 I62:I63 I74:I75 I97:I100 H13:H14 H19 J19 L19 N19 P19 R19 T19 V19 J13:J14 L13:L14 N13:N14 P13:P14 R13:R14 T13:T14 V13:V14 K62 K63 K74 K75 K97 K98 K99 K100 M62 M63 M74 M75 M97 M98 M99 M100 O62 O63 O74 O75 O97 O98 O99 O100 Q62 Q63 Q74 Q75 Q97 Q98 Q99 Q100 S62 S63 S74 S75 S97 S98 S99 S100 U62 U63 U74 U75 U97 U98 U99 U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formula1>900</formula1>
    </dataValidation>
  </dataValidations>
  <hyperlinks>
    <hyperlink ref="J18" r:id="rId1" xr:uid="{BCC6CEDF-EE0E-49A4-F5AA-F066DF97E4AB}"/>
    <hyperlink ref="J19" r:id="rId2" xr:uid="{E2BF4756-40B4-F109-FC0C-803B89FCD53B}"/>
    <hyperlink ref="P19" r:id="rId3" xr:uid="{7D9FAC75-2714-D7F2-CD73-B66D6FE64336}"/>
    <hyperlink ref="R19" r:id="rId4" xr:uid="{0D63AC9C-FDD1-01A7-94CC-E6B193F1BA23}"/>
    <hyperlink ref="V19" r:id="rId5" xr:uid="{2EED0A9D-6F95-3C55-6948-8506C148FD06}"/>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13E7CE-BB29-A0FC-FFF5-1E52BC9FF5FD}" mc:Ignorable="x14ac xr xr2 xr3">
  <sheetPr>
    <tabColor rgb="FFCCCCFF"/>
  </sheetPr>
  <dimension ref="A1:AM33"/>
  <sheetViews>
    <sheetView showGridLines="0" zoomScale="90" workbookViewId="0">
      <pane xSplit="4" ySplit="12" topLeftCell="E13" activePane="bottomRight" state="frozen"/>
      <selection pane="bottomLeft" activeCell="A13" sqref="A13"/>
      <selection pane="topRight" activeCell="E1" sqref="E1"/>
      <selection pane="bottomRight" activeCell="G31" sqref="G31"/>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52.00390625" customWidth="1"/>
    <col min="10" max="10" style="1857" width="7.00390625" customWidth="1"/>
    <col min="11" max="11" style="1857" width="3.00390625" customWidth="1"/>
    <col min="12" max="12" style="1857" width="6.00390625" customWidth="1"/>
    <col min="13" max="13" style="1857" width="56.00390625" customWidth="1"/>
    <col min="14" max="14" style="1374" width="8.00390625" customWidth="1"/>
    <col min="15" max="20" style="1628" width="9.140625" hidden="1"/>
    <col min="21" max="24" style="1270" width="9.140625" hidden="1"/>
    <col min="25" max="37" style="1374" width="9.140625" hidden="1"/>
    <col min="38" max="38" style="1374" width="8.00390625" customWidth="1"/>
    <col min="39" max="39" style="1857" width="9.140625" hidden="1"/>
  </cols>
  <sheetData>
    <row customHeight="1" ht="11.25" hidden="1">
      <c r="AM1" s="587" t="s">
        <v>14</v>
      </c>
    </row>
    <row customHeight="1" ht="11.25" hidden="1">
      <c r="AM2" s="587">
        <v>0</v>
      </c>
    </row>
    <row customHeight="1" ht="11.549999999999999">
      <c r="AM3" s="587">
        <v>11</v>
      </c>
    </row>
    <row customHeight="1" ht="35.699999999999996">
      <c r="A4" s="589"/>
      <c r="B4" s="589"/>
      <c r="D4" s="2123"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24"/>
      <c r="F4" s="2124"/>
      <c r="G4" s="2124"/>
      <c r="H4" s="2124"/>
      <c r="I4" s="2125"/>
      <c r="J4" s="588"/>
      <c r="K4" s="588"/>
      <c r="L4" s="588"/>
      <c r="M4" s="588"/>
      <c r="AM4" s="587">
        <v>34</v>
      </c>
    </row>
    <row s="593" customFormat="1" customHeight="1" ht="14.699999999999998">
      <c r="A5" s="589"/>
      <c r="B5" s="589"/>
      <c r="C5" s="589"/>
      <c r="D5" s="2126" t="str">
        <f>IF(org=0,"Не определено",org)</f>
        <v>АО "Теплоэнерго"</v>
      </c>
      <c r="E5" s="2127"/>
      <c r="F5" s="2127"/>
      <c r="G5" s="2127"/>
      <c r="H5" s="2127"/>
      <c r="I5" s="2128"/>
      <c r="J5" s="590"/>
      <c r="K5" s="590"/>
      <c r="L5" s="590"/>
      <c r="M5" s="590"/>
      <c r="N5" s="590"/>
      <c r="O5" s="874"/>
      <c r="P5" s="874"/>
      <c r="Q5" s="874"/>
      <c r="R5" s="874"/>
      <c r="S5" s="874"/>
      <c r="T5" s="874"/>
      <c r="U5" s="1265"/>
      <c r="V5" s="1265"/>
      <c r="W5" s="1265"/>
      <c r="X5" s="1265"/>
      <c r="Y5" s="590"/>
      <c r="Z5" s="590"/>
      <c r="AA5" s="590"/>
      <c r="AB5" s="590"/>
      <c r="AC5" s="590"/>
      <c r="AD5" s="590"/>
      <c r="AE5" s="590"/>
      <c r="AF5" s="590"/>
      <c r="AG5" s="590"/>
      <c r="AH5" s="590"/>
      <c r="AI5" s="590"/>
      <c r="AJ5" s="590"/>
      <c r="AK5" s="590"/>
      <c r="AL5" s="590"/>
      <c r="AM5" s="591">
        <v>14</v>
      </c>
    </row>
    <row s="593" customFormat="1" customHeight="1" ht="6.3">
      <c r="A6" s="2129"/>
      <c r="B6" s="2129"/>
      <c r="C6" s="2129"/>
      <c r="D6" s="2129"/>
      <c r="E6" s="2129"/>
      <c r="F6" s="2129"/>
      <c r="G6" s="592"/>
      <c r="H6" s="592"/>
      <c r="I6" s="592"/>
      <c r="J6" s="592"/>
      <c r="K6" s="592"/>
      <c r="N6" s="594"/>
      <c r="O6" s="1418"/>
      <c r="P6" s="1418"/>
      <c r="Q6" s="1418"/>
      <c r="R6" s="1418"/>
      <c r="S6" s="1418"/>
      <c r="T6" s="1418"/>
      <c r="U6" s="1268"/>
      <c r="V6" s="1268"/>
      <c r="W6" s="1268"/>
      <c r="X6" s="1268"/>
      <c r="Y6" s="594"/>
      <c r="Z6" s="594"/>
      <c r="AA6" s="594"/>
      <c r="AB6" s="594"/>
      <c r="AC6" s="594"/>
      <c r="AD6" s="594"/>
      <c r="AE6" s="594"/>
      <c r="AF6" s="594"/>
      <c r="AG6" s="594"/>
      <c r="AH6" s="594"/>
      <c r="AI6" s="594"/>
      <c r="AJ6" s="594"/>
      <c r="AK6" s="594"/>
      <c r="AL6" s="594"/>
      <c r="AM6" s="593">
        <v>6</v>
      </c>
    </row>
    <row customHeight="1" ht="45.75" hidden="1">
      <c r="E7" s="213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5"/>
      <c r="G7" s="2135"/>
      <c r="H7" s="2135"/>
      <c r="I7" s="2135"/>
      <c r="J7" s="2135"/>
      <c r="K7" s="2135"/>
      <c r="L7" s="2135"/>
      <c r="M7" s="2135"/>
      <c r="AM7" s="587">
        <v>0</v>
      </c>
    </row>
    <row s="593" customFormat="1" customHeight="1" ht="6.3">
      <c r="A8" s="595"/>
      <c r="B8" s="595"/>
      <c r="C8" s="595"/>
      <c r="D8" s="595"/>
      <c r="E8" s="595"/>
      <c r="F8" s="595"/>
      <c r="G8" s="595"/>
      <c r="H8" s="595"/>
      <c r="I8" s="595"/>
      <c r="J8" s="595"/>
      <c r="K8" s="595"/>
      <c r="L8" s="595"/>
      <c r="M8" s="593"/>
      <c r="N8" s="590"/>
      <c r="O8" s="874"/>
      <c r="P8" s="874"/>
      <c r="Q8" s="874"/>
      <c r="R8" s="874"/>
      <c r="S8" s="874"/>
      <c r="T8" s="874"/>
      <c r="U8" s="1265"/>
      <c r="V8" s="1265"/>
      <c r="W8" s="1265"/>
      <c r="X8" s="1265"/>
      <c r="Y8" s="590"/>
      <c r="Z8" s="590"/>
      <c r="AA8" s="590"/>
      <c r="AB8" s="590"/>
      <c r="AC8" s="590"/>
      <c r="AD8" s="590"/>
      <c r="AE8" s="590"/>
      <c r="AF8" s="590"/>
      <c r="AG8" s="590"/>
      <c r="AH8" s="590"/>
      <c r="AI8" s="590"/>
      <c r="AJ8" s="590"/>
      <c r="AK8" s="590"/>
      <c r="AL8" s="590"/>
      <c r="AM8" s="591">
        <v>6</v>
      </c>
    </row>
    <row customHeight="1" ht="18.75">
      <c r="A9" s="2130"/>
      <c r="B9" s="327"/>
      <c r="C9" s="327"/>
      <c r="D9" s="2131" t="s">
        <v>115</v>
      </c>
      <c r="E9" s="2131"/>
      <c r="F9" s="2132" t="s">
        <v>116</v>
      </c>
      <c r="G9" s="2133"/>
      <c r="H9" s="2133"/>
      <c r="I9" s="2133"/>
      <c r="J9" s="2136" t="s">
        <v>117</v>
      </c>
      <c r="K9" s="2136"/>
      <c r="L9" s="2136"/>
      <c r="M9" s="2136"/>
      <c r="AM9" s="587">
        <v>18</v>
      </c>
    </row>
    <row customHeight="1" ht="24">
      <c r="A10" s="2130"/>
      <c r="B10" s="596"/>
      <c r="C10" s="529"/>
      <c r="D10" s="527" t="s">
        <v>88</v>
      </c>
      <c r="E10" s="527" t="s">
        <v>89</v>
      </c>
      <c r="F10" s="527" t="s">
        <v>118</v>
      </c>
      <c r="G10" s="2137" t="s">
        <v>88</v>
      </c>
      <c r="H10" s="2138"/>
      <c r="I10" s="527" t="s">
        <v>89</v>
      </c>
      <c r="J10" s="527" t="s">
        <v>118</v>
      </c>
      <c r="K10" s="2137" t="s">
        <v>88</v>
      </c>
      <c r="L10" s="2138"/>
      <c r="M10" s="527" t="s">
        <v>89</v>
      </c>
      <c r="N10" s="1631"/>
      <c r="AM10" s="587">
        <v>23</v>
      </c>
    </row>
    <row s="1857" customFormat="1" customHeight="1" ht="11.25" hidden="1">
      <c r="A11" s="597"/>
      <c r="B11" s="597"/>
      <c r="C11" s="597"/>
      <c r="D11" s="598" t="s">
        <v>119</v>
      </c>
      <c r="E11" s="598" t="s">
        <v>103</v>
      </c>
      <c r="F11" s="598" t="s">
        <v>90</v>
      </c>
      <c r="G11" s="2119" t="s">
        <v>91</v>
      </c>
      <c r="H11" s="2120"/>
      <c r="I11" s="598" t="s">
        <v>120</v>
      </c>
      <c r="J11" s="598" t="s">
        <v>92</v>
      </c>
      <c r="K11" s="2121" t="s">
        <v>93</v>
      </c>
      <c r="L11" s="2122"/>
      <c r="M11" s="598" t="s">
        <v>121</v>
      </c>
      <c r="N11" s="1630"/>
      <c r="O11" s="1417"/>
      <c r="P11" s="1419"/>
      <c r="Q11" s="1419"/>
      <c r="R11" s="1419"/>
      <c r="S11" s="1419"/>
      <c r="T11" s="1419"/>
      <c r="U11" s="1269"/>
      <c r="V11" s="1269"/>
      <c r="W11" s="1269"/>
      <c r="X11" s="1269"/>
      <c r="Y11" s="599"/>
      <c r="Z11" s="599"/>
      <c r="AA11" s="599"/>
      <c r="AB11" s="599"/>
      <c r="AC11" s="599"/>
      <c r="AD11" s="599"/>
      <c r="AE11" s="599"/>
      <c r="AF11" s="599"/>
      <c r="AG11" s="599"/>
      <c r="AH11" s="599"/>
      <c r="AI11" s="599"/>
      <c r="AJ11" s="599"/>
      <c r="AK11" s="599"/>
      <c r="AL11" s="599"/>
      <c r="AM11" s="600">
        <v>0</v>
      </c>
    </row>
    <row customHeight="1" ht="1.05">
      <c r="A12" s="601"/>
      <c r="B12" s="602"/>
      <c r="C12" s="602"/>
      <c r="D12" s="603"/>
      <c r="E12" s="371"/>
      <c r="F12" s="604"/>
      <c r="G12" s="1063"/>
      <c r="H12" s="1063"/>
      <c r="I12" s="604"/>
      <c r="J12" s="604"/>
      <c r="K12" s="178"/>
      <c r="L12" s="371"/>
      <c r="M12" s="605"/>
      <c r="N12" s="1631"/>
      <c r="O12" s="1417" t="s">
        <v>122</v>
      </c>
      <c r="P12" s="1417" t="s">
        <v>123</v>
      </c>
      <c r="Q12" s="1417" t="s">
        <v>124</v>
      </c>
      <c r="R12" s="1417" t="s">
        <v>125</v>
      </c>
      <c r="AM12" s="587">
        <v>1</v>
      </c>
    </row>
    <row s="1857" customFormat="1" customHeight="1" ht="15.75">
      <c r="A13" s="297"/>
      <c r="B13" s="297"/>
      <c r="C13" s="530"/>
      <c r="D13" s="2112" t="s">
        <v>119</v>
      </c>
      <c r="E13" s="211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116" t="s">
        <v>62</v>
      </c>
      <c r="G13" s="2117"/>
      <c r="H13" s="2118">
        <v>1</v>
      </c>
      <c r="I13" s="2638" t="str">
        <f>IF($U$13="","",INDEX(TERRITORY_MR_LIST,MATCH($U$13,TERRITORY_LIST_ID,0)))</f>
        <v>Территория 1</v>
      </c>
      <c r="J13" s="2111" t="s">
        <v>19</v>
      </c>
      <c r="K13" s="606"/>
      <c r="L13" s="531" t="s">
        <v>119</v>
      </c>
      <c r="M13" s="607" t="s">
        <v>22</v>
      </c>
      <c r="N13" s="816"/>
      <c r="O13" s="1420" t="s">
        <v>126</v>
      </c>
      <c r="P13" s="1417" t="str">
        <f>$E$13</f>
        <v>Производство тепловой энергии. Некомбинированная выработка; Передача. Тепловая энергия; Сбыт. Тепловая энергия</v>
      </c>
      <c r="Q13" s="1417" t="str">
        <f>IF($F$13="нет","без дифференциации",$I$13)</f>
        <v>Территория 1</v>
      </c>
      <c r="R13" s="1417" t="str">
        <f>IF($J$13="нет","без дифференциации",M13)</f>
        <v>без дифференциации</v>
      </c>
      <c r="S13" s="1420"/>
      <c r="T13" s="1420"/>
      <c r="U13" s="1270" t="s">
        <v>98</v>
      </c>
      <c r="V13" s="1270" t="s">
        <v>127</v>
      </c>
      <c r="W13" s="1270"/>
      <c r="X13" s="1270"/>
      <c r="Y13" s="608" t="s">
        <v>128</v>
      </c>
      <c r="Z13" s="608">
        <v>1705000</v>
      </c>
      <c r="AA13" s="608"/>
      <c r="AB13" s="608"/>
      <c r="AC13" s="608"/>
      <c r="AD13" s="608"/>
      <c r="AE13" s="608"/>
      <c r="AF13" s="608"/>
      <c r="AG13" s="608"/>
      <c r="AH13" s="608"/>
      <c r="AI13" s="608"/>
      <c r="AJ13" s="608"/>
      <c r="AK13" s="608"/>
      <c r="AL13" s="608"/>
      <c r="AM13" s="610">
        <v>15</v>
      </c>
    </row>
    <row s="1857" customFormat="1" customHeight="1" ht="15.75">
      <c r="A14" s="297"/>
      <c r="B14" s="297"/>
      <c r="C14" s="180"/>
      <c r="D14" s="2112"/>
      <c r="E14" s="2114"/>
      <c r="F14" s="2111"/>
      <c r="G14" s="2117"/>
      <c r="H14" s="2118"/>
      <c r="I14" s="2639" t="str">
        <f>IF($U$13="","",INDEX(TERRITORY_MR_LIST,MATCH($U$13,TERRITORY_LIST_ID,0)))</f>
        <v>Территория 1</v>
      </c>
      <c r="J14" s="2111"/>
      <c r="K14" s="425"/>
      <c r="L14" s="181"/>
      <c r="M14" s="611" t="s">
        <v>129</v>
      </c>
      <c r="N14" s="816"/>
      <c r="O14" s="1420"/>
      <c r="P14" s="1417"/>
      <c r="Q14" s="1417"/>
      <c r="R14" s="1417"/>
      <c r="S14" s="1420"/>
      <c r="T14" s="1420"/>
      <c r="U14" s="1270"/>
      <c r="V14" s="1270"/>
      <c r="W14" s="1270"/>
      <c r="X14" s="1270"/>
      <c r="Y14" s="608"/>
      <c r="Z14" s="608"/>
      <c r="AA14" s="608"/>
      <c r="AB14" s="608"/>
      <c r="AC14" s="608"/>
      <c r="AD14" s="608"/>
      <c r="AE14" s="608"/>
      <c r="AF14" s="608"/>
      <c r="AG14" s="608"/>
      <c r="AH14" s="608"/>
      <c r="AI14" s="608"/>
      <c r="AJ14" s="608"/>
      <c r="AK14" s="608"/>
      <c r="AL14" s="608"/>
      <c r="AM14" s="610">
        <v>15</v>
      </c>
    </row>
    <row customHeight="1" ht="15">
      <c r="A15" s="427"/>
      <c r="B15" s="427"/>
      <c r="C15" s="180"/>
      <c r="D15" s="1825"/>
      <c r="E15" s="1825"/>
      <c r="F15" s="1825"/>
      <c r="G15" s="2565" t="s">
        <v>104</v>
      </c>
      <c r="H15" s="2107" t="s">
        <v>103</v>
      </c>
      <c r="I15" s="2566" t="str">
        <f>IF(U15="","",INDEX(TERRITORY_MR_LIST,MATCH(U15,TERRITORY_LIST_ID,0)))</f>
        <v>Территория 3</v>
      </c>
      <c r="J15" s="2111" t="s">
        <v>19</v>
      </c>
      <c r="K15" s="836"/>
      <c r="L15" s="1786" t="s">
        <v>119</v>
      </c>
      <c r="M15" s="607"/>
      <c r="N15" s="608"/>
      <c r="O15" s="608" t="s">
        <v>130</v>
      </c>
      <c r="P15" s="608" t="str">
        <f>$E$13</f>
        <v>Производство тепловой энергии. Некомбинированная выработка; Передача. Тепловая энергия; Сбыт. Тепловая энергия</v>
      </c>
      <c r="Q15" s="608" t="str">
        <f>IF($F$15="нет","без дифференциации",$I$15)</f>
        <v>Территория 3</v>
      </c>
      <c r="R15" s="608" t="str">
        <f>IF($J$15="нет","без дифференциации",$M$15)</f>
        <v>без дифференциации</v>
      </c>
      <c r="S15" s="608"/>
      <c r="T15" s="608"/>
      <c r="U15" s="609" t="s">
        <v>109</v>
      </c>
      <c r="V15" s="608"/>
      <c r="W15" s="608"/>
      <c r="X15" s="599"/>
      <c r="Y15" s="599" t="s">
        <v>128</v>
      </c>
      <c r="Z15" s="599">
        <v>1705000</v>
      </c>
      <c r="AA15" s="599"/>
      <c r="AB15" s="599"/>
      <c r="AC15" s="599"/>
      <c r="AD15" s="599"/>
      <c r="AE15" s="599"/>
      <c r="AF15" s="599"/>
      <c r="AG15" s="599"/>
      <c r="AH15" s="599"/>
      <c r="AI15" s="599"/>
      <c r="AJ15" s="599"/>
      <c r="AK15" s="599"/>
      <c r="AL15" s="599"/>
      <c r="AM15" s="1857"/>
    </row>
    <row customHeight="1" ht="15">
      <c r="A16" s="427"/>
      <c r="B16" s="427"/>
      <c r="C16" s="180"/>
      <c r="D16" s="1825"/>
      <c r="E16" s="1825"/>
      <c r="F16" s="1825"/>
      <c r="G16" s="2565"/>
      <c r="H16" s="2107"/>
      <c r="I16" s="2566"/>
      <c r="J16" s="2111"/>
      <c r="K16" s="425"/>
      <c r="L16" s="181"/>
      <c r="M16" s="611" t="s">
        <v>129</v>
      </c>
      <c r="N16" s="608"/>
      <c r="O16" s="608"/>
      <c r="P16" s="608"/>
      <c r="Q16" s="608"/>
      <c r="R16" s="608"/>
      <c r="S16" s="608"/>
      <c r="T16" s="608"/>
      <c r="U16" s="609"/>
      <c r="V16" s="608"/>
      <c r="W16" s="608"/>
      <c r="X16" s="599"/>
      <c r="Y16" s="599"/>
      <c r="Z16" s="599"/>
      <c r="AA16" s="599"/>
      <c r="AB16" s="599"/>
      <c r="AC16" s="599"/>
      <c r="AD16" s="599"/>
      <c r="AE16" s="599"/>
      <c r="AF16" s="599"/>
      <c r="AG16" s="599"/>
      <c r="AH16" s="599"/>
      <c r="AI16" s="599"/>
      <c r="AJ16" s="599"/>
      <c r="AK16" s="599"/>
      <c r="AL16" s="599"/>
      <c r="AM16" s="1857"/>
    </row>
    <row s="1857" customFormat="1" customHeight="1" ht="15.75">
      <c r="A17" s="297"/>
      <c r="B17" s="297"/>
      <c r="C17" s="180"/>
      <c r="D17" s="2112"/>
      <c r="E17" s="2115"/>
      <c r="F17" s="2111"/>
      <c r="G17" s="1064"/>
      <c r="H17" s="1065"/>
      <c r="I17" s="584" t="s">
        <v>131</v>
      </c>
      <c r="J17" s="181"/>
      <c r="K17" s="181"/>
      <c r="L17" s="181"/>
      <c r="M17" s="612"/>
      <c r="N17" s="816"/>
      <c r="O17" s="1420"/>
      <c r="P17" s="1417"/>
      <c r="Q17" s="1417"/>
      <c r="R17" s="1417"/>
      <c r="S17" s="1420"/>
      <c r="T17" s="1420"/>
      <c r="U17" s="1270"/>
      <c r="V17" s="1270"/>
      <c r="W17" s="1270"/>
      <c r="X17" s="1270"/>
      <c r="Y17" s="608"/>
      <c r="Z17" s="608"/>
      <c r="AA17" s="608"/>
      <c r="AB17" s="608"/>
      <c r="AC17" s="608"/>
      <c r="AD17" s="608"/>
      <c r="AE17" s="608"/>
      <c r="AF17" s="608"/>
      <c r="AG17" s="608"/>
      <c r="AH17" s="608"/>
      <c r="AI17" s="608"/>
      <c r="AJ17" s="608"/>
      <c r="AK17" s="608"/>
      <c r="AL17" s="608"/>
      <c r="AM17" s="610">
        <v>15</v>
      </c>
    </row>
    <row customHeight="1" ht="15">
      <c r="A18" s="427"/>
      <c r="B18" s="427"/>
      <c r="C18" s="1732" t="s">
        <v>104</v>
      </c>
      <c r="D18" s="2112" t="s">
        <v>103</v>
      </c>
      <c r="E18" s="2113" t="str">
        <f>INDEX(VD_NAME_LIST,MATCH("4190064",VD_ID_LIST,0))&amp;"; "&amp;INDEX(VD_NAME_LIST,MATCH("4190068",VD_ID_LIST,0))</f>
        <v>Производство тепловой энергии. Некомбинированная выработка; Передача. Тепловая энергия</v>
      </c>
      <c r="F18" s="2111" t="s">
        <v>62</v>
      </c>
      <c r="G18" s="2561"/>
      <c r="H18" s="2131">
        <v>1</v>
      </c>
      <c r="I18" s="2640" t="str">
        <f>IF($U$18="","",INDEX(TERRITORY_MR_LIST,MATCH($U$18,TERRITORY_LIST_ID,0)))</f>
        <v>Территория 2</v>
      </c>
      <c r="J18" s="2111" t="s">
        <v>19</v>
      </c>
      <c r="K18" s="836"/>
      <c r="L18" s="1786" t="s">
        <v>119</v>
      </c>
      <c r="M18" s="607"/>
      <c r="N18" s="608"/>
      <c r="O18" s="608" t="s">
        <v>132</v>
      </c>
      <c r="P18" s="608" t="str">
        <f>$E$18</f>
        <v>Производство тепловой энергии. Некомбинированная выработка; Передача. Тепловая энергия</v>
      </c>
      <c r="Q18" s="608" t="str">
        <f>IF($F$18="нет","без дифференциации",$I$18)</f>
        <v>Территория 2</v>
      </c>
      <c r="R18" s="608" t="str">
        <f>IF($J$18="нет","без дифференциации",$M$18)</f>
        <v>без дифференциации</v>
      </c>
      <c r="S18" s="608"/>
      <c r="T18" s="608"/>
      <c r="U18" s="609" t="s">
        <v>105</v>
      </c>
      <c r="V18" s="608" t="s">
        <v>133</v>
      </c>
      <c r="W18" s="608"/>
      <c r="X18" s="599"/>
      <c r="Y18" s="599" t="s">
        <v>128</v>
      </c>
      <c r="Z18" s="599">
        <v>1705000</v>
      </c>
      <c r="AA18" s="599"/>
      <c r="AB18" s="599"/>
      <c r="AC18" s="599"/>
      <c r="AD18" s="599"/>
      <c r="AE18" s="599"/>
      <c r="AF18" s="599"/>
      <c r="AG18" s="599"/>
      <c r="AH18" s="599"/>
      <c r="AI18" s="599"/>
      <c r="AJ18" s="599"/>
      <c r="AK18" s="599"/>
      <c r="AL18" s="599"/>
      <c r="AM18" s="1857"/>
    </row>
    <row customHeight="1" ht="15">
      <c r="A19" s="427"/>
      <c r="B19" s="427"/>
      <c r="C19" s="180"/>
      <c r="D19" s="2112"/>
      <c r="E19" s="2114"/>
      <c r="F19" s="2111"/>
      <c r="G19" s="2562"/>
      <c r="H19" s="2131"/>
      <c r="I19" s="2641" t="str">
        <f>IF($U$18="","",INDEX(TERRITORY_MR_LIST,MATCH($U$18,TERRITORY_LIST_ID,0)))</f>
        <v>Территория 2</v>
      </c>
      <c r="J19" s="2111"/>
      <c r="K19" s="425"/>
      <c r="L19" s="181"/>
      <c r="M19" s="611" t="s">
        <v>129</v>
      </c>
      <c r="N19" s="608"/>
      <c r="O19" s="608"/>
      <c r="P19" s="608"/>
      <c r="Q19" s="608"/>
      <c r="R19" s="608"/>
      <c r="S19" s="608"/>
      <c r="T19" s="608"/>
      <c r="U19" s="609"/>
      <c r="V19" s="608"/>
      <c r="W19" s="608"/>
      <c r="X19" s="599"/>
      <c r="Y19" s="599"/>
      <c r="Z19" s="599"/>
      <c r="AA19" s="599"/>
      <c r="AB19" s="599"/>
      <c r="AC19" s="599"/>
      <c r="AD19" s="599"/>
      <c r="AE19" s="599"/>
      <c r="AF19" s="599"/>
      <c r="AG19" s="599"/>
      <c r="AH19" s="599"/>
      <c r="AI19" s="599"/>
      <c r="AJ19" s="599"/>
      <c r="AK19" s="599"/>
      <c r="AL19" s="599"/>
      <c r="AM19" s="1857"/>
    </row>
    <row customHeight="1" ht="15">
      <c r="A20" s="427"/>
      <c r="B20" s="427"/>
      <c r="C20" s="180"/>
      <c r="D20" s="2112"/>
      <c r="E20" s="2115"/>
      <c r="F20" s="2111"/>
      <c r="G20" s="425"/>
      <c r="H20" s="181"/>
      <c r="I20" s="584" t="s">
        <v>131</v>
      </c>
      <c r="J20" s="181"/>
      <c r="K20" s="181"/>
      <c r="L20" s="181"/>
      <c r="M20" s="612"/>
      <c r="N20" s="608"/>
      <c r="O20" s="608"/>
      <c r="P20" s="608"/>
      <c r="Q20" s="608"/>
      <c r="R20" s="608"/>
      <c r="S20" s="608"/>
      <c r="T20" s="608"/>
      <c r="U20" s="609"/>
      <c r="V20" s="608"/>
      <c r="W20" s="608"/>
      <c r="X20" s="599"/>
      <c r="Y20" s="599"/>
      <c r="Z20" s="599"/>
      <c r="AA20" s="599"/>
      <c r="AB20" s="599"/>
      <c r="AC20" s="599"/>
      <c r="AD20" s="599"/>
      <c r="AE20" s="599"/>
      <c r="AF20" s="599"/>
      <c r="AG20" s="599"/>
      <c r="AH20" s="599"/>
      <c r="AI20" s="599"/>
      <c r="AJ20" s="599"/>
      <c r="AK20" s="599"/>
      <c r="AL20" s="599"/>
      <c r="AM20" s="1857"/>
    </row>
    <row customHeight="1" ht="15">
      <c r="A21" s="427"/>
      <c r="B21" s="427"/>
      <c r="C21" s="1732" t="s">
        <v>104</v>
      </c>
      <c r="D21" s="2112" t="s">
        <v>90</v>
      </c>
      <c r="E21" s="2113" t="str">
        <f>INDEX(VD_NAME_LIST,MATCH("4190067",VD_ID_LIST,0))</f>
        <v>Производство. Теплоноситель</v>
      </c>
      <c r="F21" s="2111" t="s">
        <v>62</v>
      </c>
      <c r="G21" s="2561"/>
      <c r="H21" s="2131">
        <v>1</v>
      </c>
      <c r="I21" s="2640" t="str">
        <f>IF($U$21="","",INDEX(TERRITORY_MR_LIST,MATCH($U$21,TERRITORY_LIST_ID,0)))</f>
        <v>Территория 1</v>
      </c>
      <c r="J21" s="2111" t="s">
        <v>19</v>
      </c>
      <c r="K21" s="836"/>
      <c r="L21" s="1786" t="s">
        <v>119</v>
      </c>
      <c r="M21" s="607"/>
      <c r="N21" s="608"/>
      <c r="O21" s="608" t="s">
        <v>134</v>
      </c>
      <c r="P21" s="608" t="str">
        <f>$E$21</f>
        <v>Производство. Теплоноситель</v>
      </c>
      <c r="Q21" s="608" t="str">
        <f>IF($F$21="нет","без дифференциации",$I$21)</f>
        <v>Территория 1</v>
      </c>
      <c r="R21" s="608" t="str">
        <f>IF($J$21="нет","без дифференциации",$M$21)</f>
        <v>без дифференциации</v>
      </c>
      <c r="S21" s="608"/>
      <c r="T21" s="608"/>
      <c r="U21" s="609" t="s">
        <v>98</v>
      </c>
      <c r="V21" s="608" t="s">
        <v>135</v>
      </c>
      <c r="W21" s="608"/>
      <c r="X21" s="599"/>
      <c r="Y21" s="599" t="s">
        <v>128</v>
      </c>
      <c r="Z21" s="599">
        <v>1705000</v>
      </c>
      <c r="AA21" s="599"/>
      <c r="AB21" s="599"/>
      <c r="AC21" s="599"/>
      <c r="AD21" s="599"/>
      <c r="AE21" s="599"/>
      <c r="AF21" s="599"/>
      <c r="AG21" s="599"/>
      <c r="AH21" s="599"/>
      <c r="AI21" s="599"/>
      <c r="AJ21" s="599"/>
      <c r="AK21" s="599"/>
      <c r="AL21" s="599"/>
      <c r="AM21" s="1857"/>
    </row>
    <row customHeight="1" ht="15">
      <c r="A22" s="427"/>
      <c r="B22" s="427"/>
      <c r="C22" s="180"/>
      <c r="D22" s="2112"/>
      <c r="E22" s="2114"/>
      <c r="F22" s="2111"/>
      <c r="G22" s="2562"/>
      <c r="H22" s="2131"/>
      <c r="I22" s="2641" t="str">
        <f>IF($U$21="","",INDEX(TERRITORY_MR_LIST,MATCH($U$21,TERRITORY_LIST_ID,0)))</f>
        <v>Территория 1</v>
      </c>
      <c r="J22" s="2111"/>
      <c r="K22" s="425"/>
      <c r="L22" s="181"/>
      <c r="M22" s="611" t="s">
        <v>129</v>
      </c>
      <c r="N22" s="608"/>
      <c r="O22" s="608"/>
      <c r="P22" s="608"/>
      <c r="Q22" s="608"/>
      <c r="R22" s="608"/>
      <c r="S22" s="608"/>
      <c r="T22" s="608"/>
      <c r="U22" s="609"/>
      <c r="V22" s="608"/>
      <c r="W22" s="608"/>
      <c r="X22" s="599"/>
      <c r="Y22" s="599"/>
      <c r="Z22" s="599"/>
      <c r="AA22" s="599"/>
      <c r="AB22" s="599"/>
      <c r="AC22" s="599"/>
      <c r="AD22" s="599"/>
      <c r="AE22" s="599"/>
      <c r="AF22" s="599"/>
      <c r="AG22" s="599"/>
      <c r="AH22" s="599"/>
      <c r="AI22" s="599"/>
      <c r="AJ22" s="599"/>
      <c r="AK22" s="599"/>
      <c r="AL22" s="599"/>
      <c r="AM22" s="1857"/>
    </row>
    <row customHeight="1" ht="15">
      <c r="A23" s="427"/>
      <c r="B23" s="427"/>
      <c r="C23" s="180"/>
      <c r="D23" s="1825"/>
      <c r="E23" s="1825"/>
      <c r="F23" s="1825"/>
      <c r="G23" s="2565" t="s">
        <v>104</v>
      </c>
      <c r="H23" s="2107" t="s">
        <v>103</v>
      </c>
      <c r="I23" s="2566" t="str">
        <f>IF(U23="","",INDEX(TERRITORY_MR_LIST,MATCH(U23,TERRITORY_LIST_ID,0)))</f>
        <v>Территория 2</v>
      </c>
      <c r="J23" s="2111" t="s">
        <v>19</v>
      </c>
      <c r="K23" s="836"/>
      <c r="L23" s="1786" t="s">
        <v>119</v>
      </c>
      <c r="M23" s="607"/>
      <c r="N23" s="608"/>
      <c r="O23" s="608" t="s">
        <v>136</v>
      </c>
      <c r="P23" s="608" t="str">
        <f>$E$21</f>
        <v>Производство. Теплоноситель</v>
      </c>
      <c r="Q23" s="608" t="str">
        <f>IF($F$23="нет","без дифференциации",$I$23)</f>
        <v>Территория 2</v>
      </c>
      <c r="R23" s="608" t="str">
        <f>IF($J$23="нет","без дифференциации",$M$23)</f>
        <v>без дифференциации</v>
      </c>
      <c r="S23" s="608"/>
      <c r="T23" s="608"/>
      <c r="U23" s="609" t="s">
        <v>105</v>
      </c>
      <c r="V23" s="608"/>
      <c r="W23" s="608"/>
      <c r="X23" s="599"/>
      <c r="Y23" s="599" t="s">
        <v>128</v>
      </c>
      <c r="Z23" s="599">
        <v>1705000</v>
      </c>
      <c r="AA23" s="599"/>
      <c r="AB23" s="599"/>
      <c r="AC23" s="599"/>
      <c r="AD23" s="599"/>
      <c r="AE23" s="599"/>
      <c r="AF23" s="599"/>
      <c r="AG23" s="599"/>
      <c r="AH23" s="599"/>
      <c r="AI23" s="599"/>
      <c r="AJ23" s="599"/>
      <c r="AK23" s="599"/>
      <c r="AL23" s="599"/>
      <c r="AM23" s="1857"/>
    </row>
    <row customHeight="1" ht="15">
      <c r="A24" s="427"/>
      <c r="B24" s="427"/>
      <c r="C24" s="180"/>
      <c r="D24" s="1825"/>
      <c r="E24" s="1825"/>
      <c r="F24" s="1825"/>
      <c r="G24" s="2565"/>
      <c r="H24" s="2107"/>
      <c r="I24" s="2566"/>
      <c r="J24" s="2111"/>
      <c r="K24" s="425"/>
      <c r="L24" s="181"/>
      <c r="M24" s="611" t="s">
        <v>129</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c r="AM24" s="1857"/>
    </row>
    <row customHeight="1" ht="25.5">
      <c r="A25" s="427"/>
      <c r="B25" s="427"/>
      <c r="C25" s="180"/>
      <c r="D25" s="2112"/>
      <c r="E25" s="2115"/>
      <c r="F25" s="2111"/>
      <c r="G25" s="425"/>
      <c r="H25" s="181"/>
      <c r="I25" s="584" t="s">
        <v>131</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c r="AM25" s="1857"/>
    </row>
    <row customHeight="1" ht="15">
      <c r="A26" s="427"/>
      <c r="B26" s="427"/>
      <c r="C26" s="1732" t="s">
        <v>104</v>
      </c>
      <c r="D26" s="2112" t="s">
        <v>91</v>
      </c>
      <c r="E26" s="2113" t="str">
        <f>INDEX(VD_NAME_LIST,MATCH("4190072",VD_ID_LIST,0))</f>
        <v>Подключение (технологическое присоединение) к системе теплоснабжения</v>
      </c>
      <c r="F26" s="2111" t="s">
        <v>62</v>
      </c>
      <c r="G26" s="2561"/>
      <c r="H26" s="2131">
        <v>1</v>
      </c>
      <c r="I26" s="2640" t="str">
        <f>IF($U$26="","",INDEX(TERRITORY_MR_LIST,MATCH($U$26,TERRITORY_LIST_ID,0)))</f>
        <v>Территория 1</v>
      </c>
      <c r="J26" s="2111" t="s">
        <v>19</v>
      </c>
      <c r="K26" s="836"/>
      <c r="L26" s="1786" t="s">
        <v>119</v>
      </c>
      <c r="M26" s="607"/>
      <c r="N26" s="608"/>
      <c r="O26" s="608" t="s">
        <v>137</v>
      </c>
      <c r="P26" s="608" t="str">
        <f>$E$26</f>
        <v>Подключение (технологическое присоединение) к системе теплоснабжения</v>
      </c>
      <c r="Q26" s="608" t="str">
        <f>IF($F$26="нет","без дифференциации",$I$26)</f>
        <v>Территория 1</v>
      </c>
      <c r="R26" s="608" t="str">
        <f>IF($J$26="нет","без дифференциации",$M$26)</f>
        <v>без дифференциации</v>
      </c>
      <c r="S26" s="608"/>
      <c r="T26" s="608"/>
      <c r="U26" s="609" t="s">
        <v>98</v>
      </c>
      <c r="V26" s="608" t="s">
        <v>138</v>
      </c>
      <c r="W26" s="608"/>
      <c r="X26" s="599"/>
      <c r="Y26" s="599" t="s">
        <v>128</v>
      </c>
      <c r="Z26" s="599">
        <v>1705000</v>
      </c>
      <c r="AA26" s="599"/>
      <c r="AB26" s="599"/>
      <c r="AC26" s="599"/>
      <c r="AD26" s="599"/>
      <c r="AE26" s="599"/>
      <c r="AF26" s="599"/>
      <c r="AG26" s="599"/>
      <c r="AH26" s="599"/>
      <c r="AI26" s="599"/>
      <c r="AJ26" s="599"/>
      <c r="AK26" s="599"/>
      <c r="AL26" s="599"/>
      <c r="AM26" s="1857"/>
    </row>
    <row customHeight="1" ht="15">
      <c r="A27" s="427"/>
      <c r="B27" s="427"/>
      <c r="C27" s="180"/>
      <c r="D27" s="2112"/>
      <c r="E27" s="2114"/>
      <c r="F27" s="2111"/>
      <c r="G27" s="2562"/>
      <c r="H27" s="2131"/>
      <c r="I27" s="2641" t="str">
        <f>IF($U$26="","",INDEX(TERRITORY_MR_LIST,MATCH($U$26,TERRITORY_LIST_ID,0)))</f>
        <v>Территория 1</v>
      </c>
      <c r="J27" s="2111"/>
      <c r="K27" s="425"/>
      <c r="L27" s="181"/>
      <c r="M27" s="611" t="s">
        <v>129</v>
      </c>
      <c r="N27" s="608"/>
      <c r="O27" s="608"/>
      <c r="P27" s="608"/>
      <c r="Q27" s="608"/>
      <c r="R27" s="608"/>
      <c r="S27" s="608"/>
      <c r="T27" s="608"/>
      <c r="U27" s="609"/>
      <c r="V27" s="608"/>
      <c r="W27" s="608"/>
      <c r="X27" s="599"/>
      <c r="Y27" s="599"/>
      <c r="Z27" s="599"/>
      <c r="AA27" s="599"/>
      <c r="AB27" s="599"/>
      <c r="AC27" s="599"/>
      <c r="AD27" s="599"/>
      <c r="AE27" s="599"/>
      <c r="AF27" s="599"/>
      <c r="AG27" s="599"/>
      <c r="AH27" s="599"/>
      <c r="AI27" s="599"/>
      <c r="AJ27" s="599"/>
      <c r="AK27" s="599"/>
      <c r="AL27" s="599"/>
      <c r="AM27" s="1857"/>
    </row>
    <row customHeight="1" ht="15">
      <c r="A28" s="427"/>
      <c r="B28" s="427"/>
      <c r="C28" s="180"/>
      <c r="D28" s="2112"/>
      <c r="E28" s="2115"/>
      <c r="F28" s="2111"/>
      <c r="G28" s="425"/>
      <c r="H28" s="181"/>
      <c r="I28" s="584" t="s">
        <v>131</v>
      </c>
      <c r="J28" s="181"/>
      <c r="K28" s="181"/>
      <c r="L28" s="181"/>
      <c r="M28" s="612"/>
      <c r="N28" s="608"/>
      <c r="O28" s="608"/>
      <c r="P28" s="608"/>
      <c r="Q28" s="608"/>
      <c r="R28" s="608"/>
      <c r="S28" s="608"/>
      <c r="T28" s="608"/>
      <c r="U28" s="609"/>
      <c r="V28" s="608"/>
      <c r="W28" s="608"/>
      <c r="X28" s="599"/>
      <c r="Y28" s="599"/>
      <c r="Z28" s="599"/>
      <c r="AA28" s="599"/>
      <c r="AB28" s="599"/>
      <c r="AC28" s="599"/>
      <c r="AD28" s="599"/>
      <c r="AE28" s="599"/>
      <c r="AF28" s="599"/>
      <c r="AG28" s="599"/>
      <c r="AH28" s="599"/>
      <c r="AI28" s="599"/>
      <c r="AJ28" s="599"/>
      <c r="AK28" s="599"/>
      <c r="AL28" s="599"/>
      <c r="AM28" s="1857"/>
    </row>
    <row customHeight="1" ht="15">
      <c r="A29" s="427"/>
      <c r="B29" s="427"/>
      <c r="C29" s="1732" t="s">
        <v>104</v>
      </c>
      <c r="D29" s="2112" t="s">
        <v>120</v>
      </c>
      <c r="E29" s="2113" t="str">
        <f>INDEX(VD_NAME_LIST,MATCH("4190073",VD_ID_LIST,0))</f>
        <v>Поддержание резервной тепловой мощности при отсутствии потребления тепловой энергии</v>
      </c>
      <c r="F29" s="2111" t="s">
        <v>62</v>
      </c>
      <c r="G29" s="2561"/>
      <c r="H29" s="2131">
        <v>1</v>
      </c>
      <c r="I29" s="2640" t="str">
        <f>IF($U$29="","",INDEX(TERRITORY_MR_LIST,MATCH($U$29,TERRITORY_LIST_ID,0)))</f>
        <v>Территория 1</v>
      </c>
      <c r="J29" s="2111" t="s">
        <v>19</v>
      </c>
      <c r="K29" s="836"/>
      <c r="L29" s="1786" t="s">
        <v>119</v>
      </c>
      <c r="M29" s="607"/>
      <c r="N29" s="608"/>
      <c r="O29" s="608" t="s">
        <v>139</v>
      </c>
      <c r="P29" s="608" t="str">
        <f>$E$29</f>
        <v>Поддержание резервной тепловой мощности при отсутствии потребления тепловой энергии</v>
      </c>
      <c r="Q29" s="608" t="str">
        <f>IF($F$29="нет","без дифференциации",$I$29)</f>
        <v>Территория 1</v>
      </c>
      <c r="R29" s="608" t="str">
        <f>IF($J$29="нет","без дифференциации",$M$29)</f>
        <v>без дифференциации</v>
      </c>
      <c r="S29" s="608"/>
      <c r="T29" s="608"/>
      <c r="U29" s="609" t="s">
        <v>98</v>
      </c>
      <c r="V29" s="608" t="s">
        <v>140</v>
      </c>
      <c r="W29" s="608"/>
      <c r="X29" s="599"/>
      <c r="Y29" s="599" t="s">
        <v>128</v>
      </c>
      <c r="Z29" s="599">
        <v>1705000</v>
      </c>
      <c r="AA29" s="599"/>
      <c r="AB29" s="599"/>
      <c r="AC29" s="599"/>
      <c r="AD29" s="599"/>
      <c r="AE29" s="599"/>
      <c r="AF29" s="599"/>
      <c r="AG29" s="599"/>
      <c r="AH29" s="599"/>
      <c r="AI29" s="599"/>
      <c r="AJ29" s="599"/>
      <c r="AK29" s="599"/>
      <c r="AL29" s="599"/>
      <c r="AM29" s="1857"/>
    </row>
    <row customHeight="1" ht="15">
      <c r="A30" s="427"/>
      <c r="B30" s="427"/>
      <c r="C30" s="180"/>
      <c r="D30" s="2112"/>
      <c r="E30" s="2114"/>
      <c r="F30" s="2111"/>
      <c r="G30" s="2562"/>
      <c r="H30" s="2131"/>
      <c r="I30" s="2641" t="str">
        <f>IF($U$29="","",INDEX(TERRITORY_MR_LIST,MATCH($U$29,TERRITORY_LIST_ID,0)))</f>
        <v>Территория 1</v>
      </c>
      <c r="J30" s="2111"/>
      <c r="K30" s="425"/>
      <c r="L30" s="181"/>
      <c r="M30" s="611" t="s">
        <v>129</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c r="AM30" s="1857"/>
    </row>
    <row customHeight="1" ht="15">
      <c r="A31" s="427"/>
      <c r="B31" s="427"/>
      <c r="C31" s="180"/>
      <c r="D31" s="2112"/>
      <c r="E31" s="2115"/>
      <c r="F31" s="2111"/>
      <c r="G31" s="425"/>
      <c r="H31" s="181"/>
      <c r="I31" s="584" t="s">
        <v>131</v>
      </c>
      <c r="J31" s="181"/>
      <c r="K31" s="181"/>
      <c r="L31" s="181"/>
      <c r="M31" s="612"/>
      <c r="N31" s="608"/>
      <c r="O31" s="608"/>
      <c r="P31" s="608"/>
      <c r="Q31" s="608"/>
      <c r="R31" s="608"/>
      <c r="S31" s="608"/>
      <c r="T31" s="608"/>
      <c r="U31" s="609"/>
      <c r="V31" s="608"/>
      <c r="W31" s="608"/>
      <c r="X31" s="599"/>
      <c r="Y31" s="599"/>
      <c r="Z31" s="599"/>
      <c r="AA31" s="599"/>
      <c r="AB31" s="599"/>
      <c r="AC31" s="599"/>
      <c r="AD31" s="599"/>
      <c r="AE31" s="599"/>
      <c r="AF31" s="599"/>
      <c r="AG31" s="599"/>
      <c r="AH31" s="599"/>
      <c r="AI31" s="599"/>
      <c r="AJ31" s="599"/>
      <c r="AK31" s="599"/>
      <c r="AL31" s="599"/>
      <c r="AM31" s="1857"/>
    </row>
    <row customHeight="1" ht="15.75">
      <c r="A32" s="613"/>
      <c r="B32" s="139"/>
      <c r="C32" s="810"/>
      <c r="D32" s="425"/>
      <c r="E32" s="575" t="s">
        <v>141</v>
      </c>
      <c r="F32" s="181"/>
      <c r="G32" s="181"/>
      <c r="H32" s="181"/>
      <c r="I32" s="181"/>
      <c r="J32" s="181"/>
      <c r="K32" s="181" t="s">
        <v>22</v>
      </c>
      <c r="L32" s="181"/>
      <c r="M32" s="612"/>
      <c r="N32" s="1631"/>
      <c r="AM32" s="587">
        <v>15</v>
      </c>
    </row>
    <row customHeight="1" ht="11.25" hidden="1">
      <c r="A33" s="587" t="s">
        <v>82</v>
      </c>
      <c r="B33" s="587">
        <v>0</v>
      </c>
      <c r="C33" s="587">
        <v>3</v>
      </c>
      <c r="D33" s="587"/>
      <c r="E33" s="587">
        <v>44</v>
      </c>
      <c r="F33" s="587">
        <v>6</v>
      </c>
      <c r="G33" s="587">
        <v>4</v>
      </c>
      <c r="H33" s="587">
        <v>5</v>
      </c>
      <c r="I33" s="587">
        <v>52</v>
      </c>
      <c r="J33" s="587">
        <v>6</v>
      </c>
      <c r="K33" s="587">
        <v>3</v>
      </c>
      <c r="L33" s="587">
        <v>6</v>
      </c>
      <c r="M33" s="587">
        <v>56</v>
      </c>
      <c r="N33" s="588">
        <v>8</v>
      </c>
      <c r="O33" s="1417">
        <v>0</v>
      </c>
      <c r="P33" s="1417">
        <v>0</v>
      </c>
      <c r="Q33" s="1417">
        <v>0</v>
      </c>
      <c r="R33" s="1417">
        <v>0</v>
      </c>
      <c r="S33" s="1417">
        <v>0</v>
      </c>
      <c r="T33" s="1417">
        <v>0</v>
      </c>
      <c r="U33" s="1267">
        <v>0</v>
      </c>
      <c r="V33" s="1267">
        <v>0</v>
      </c>
      <c r="W33" s="1267">
        <v>0</v>
      </c>
      <c r="X33" s="1267">
        <v>0</v>
      </c>
      <c r="Y33" s="588">
        <v>0</v>
      </c>
      <c r="Z33" s="588">
        <v>0</v>
      </c>
      <c r="AA33" s="588">
        <v>0</v>
      </c>
      <c r="AB33" s="588">
        <v>0</v>
      </c>
      <c r="AC33" s="588">
        <v>0</v>
      </c>
      <c r="AD33" s="588">
        <v>0</v>
      </c>
      <c r="AE33" s="588">
        <v>0</v>
      </c>
      <c r="AF33" s="588">
        <v>0</v>
      </c>
      <c r="AG33" s="588">
        <v>0</v>
      </c>
      <c r="AH33" s="588">
        <v>0</v>
      </c>
      <c r="AI33" s="588">
        <v>0</v>
      </c>
      <c r="AJ33" s="588">
        <v>0</v>
      </c>
      <c r="AK33" s="588">
        <v>0</v>
      </c>
      <c r="AL33" s="588">
        <v>8</v>
      </c>
      <c r="AM33" s="587">
        <v>11</v>
      </c>
    </row>
  </sheetData>
  <sheetProtection formatColumns="0" formatRows="0" autoFilter="0" sort="0" insertRows="0" insertColumns="1" deleteRows="0" deleteColumns="0"/>
  <mergeCells count="5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G15:G16"/>
    <mergeCell ref="H15:H16"/>
    <mergeCell ref="I15:I16"/>
    <mergeCell ref="J15:J16"/>
    <mergeCell ref="D18:D20"/>
    <mergeCell ref="E18:E20"/>
    <mergeCell ref="F18:F20"/>
    <mergeCell ref="G18:G19"/>
    <mergeCell ref="H18:H19"/>
    <mergeCell ref="I18:I19"/>
    <mergeCell ref="J18:J19"/>
    <mergeCell ref="C18:C20"/>
    <mergeCell ref="D21:D25"/>
    <mergeCell ref="E21:E25"/>
    <mergeCell ref="F21:F25"/>
    <mergeCell ref="G21:G22"/>
    <mergeCell ref="H21:H22"/>
    <mergeCell ref="I21:I22"/>
    <mergeCell ref="J21:J22"/>
    <mergeCell ref="C21:C25"/>
    <mergeCell ref="D26:D28"/>
    <mergeCell ref="E26:E28"/>
    <mergeCell ref="F26:F28"/>
    <mergeCell ref="G26:G27"/>
    <mergeCell ref="H26:H27"/>
    <mergeCell ref="I26:I27"/>
    <mergeCell ref="J26:J27"/>
    <mergeCell ref="C26:C28"/>
    <mergeCell ref="G23:G24"/>
    <mergeCell ref="H23:H24"/>
    <mergeCell ref="I23:I24"/>
    <mergeCell ref="J23:J24"/>
    <mergeCell ref="D29:D31"/>
    <mergeCell ref="E29:E31"/>
    <mergeCell ref="F29:F31"/>
    <mergeCell ref="G29:G30"/>
    <mergeCell ref="H29:H30"/>
    <mergeCell ref="I29:I30"/>
    <mergeCell ref="J29:J30"/>
    <mergeCell ref="C29:C31"/>
  </mergeCells>
  <dataValidations count="7">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D50CA2-34AE-EFDA-410A-E656C2B5C1F8}" mc:Ignorable="x14ac xr xr2 xr3">
  <sheetPr>
    <tabColor rgb="FFE26B0A"/>
  </sheetPr>
  <dimension ref="A1:AH40"/>
  <sheetViews>
    <sheetView showGridLines="0" zoomScale="90" workbookViewId="0">
      <pane xSplit="8" ySplit="31" topLeftCell="AA32" activePane="bottomRight" state="frozen"/>
      <selection pane="bottomLeft" activeCell="A32" sqref="A32"/>
      <selection pane="topRight" activeCell="I1" sqref="I1"/>
      <selection pane="bottomRight" activeCell="AA25" sqref="AA25"/>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25.7109375" hidden="1" customWidth="1"/>
    <col min="8" max="8" style="1639" width="33.7109375" hidden="1" customWidth="1"/>
    <col min="9" max="9" style="1639" width="25.7109375" customWidth="1"/>
    <col min="10" max="10" style="1639" width="33.00390625" customWidth="1"/>
    <col min="11" max="11" style="1639" width="25.7109375" customWidth="1"/>
    <col min="12" max="12" style="1639" width="33.7109375" customWidth="1"/>
    <col min="13" max="13" style="1639" width="25.7109375" customWidth="1"/>
    <col min="14" max="14" style="1639" width="33.7109375" customWidth="1"/>
    <col min="15" max="15" style="1639" width="25.7109375" customWidth="1"/>
    <col min="16" max="16" style="1639" width="33.7109375" customWidth="1"/>
    <col min="17" max="17" style="1639" width="25.7109375" customWidth="1"/>
    <col min="18" max="18" style="1639" width="33.7109375" customWidth="1"/>
    <col min="19" max="19" style="1639" width="25.7109375" customWidth="1"/>
    <col min="20" max="20" style="1639" width="33.7109375" customWidth="1"/>
    <col min="21" max="21" style="1639" width="25.7109375" customWidth="1"/>
    <col min="22" max="22" style="1639" width="33.7109375" customWidth="1"/>
    <col min="23" max="23" style="1370" width="93.00390625" customWidth="1"/>
    <col min="24" max="32" style="1639" width="10.00390625" customWidth="1"/>
    <col min="33" max="33" style="679" width="10.00390625" customWidth="1"/>
    <col min="34" max="34" style="1639" width="10.57421875" hidden="1"/>
  </cols>
  <sheetData>
    <row s="1370" customFormat="1" customHeight="1" ht="22.5" hidden="1">
      <c r="C1" s="676"/>
      <c r="G1" s="421">
        <v>4</v>
      </c>
      <c r="I1" s="421">
        <v>4</v>
      </c>
      <c r="K1" s="1370" t="s">
        <v>90</v>
      </c>
      <c r="L1" s="1370"/>
      <c r="M1" s="1370">
        <v>4</v>
      </c>
      <c r="N1" s="1370"/>
      <c r="O1" s="1370">
        <v>4</v>
      </c>
      <c r="P1" s="1370"/>
      <c r="Q1" s="1370">
        <v>4</v>
      </c>
      <c r="R1" s="1370"/>
      <c r="S1" s="1370">
        <v>4</v>
      </c>
      <c r="T1" s="1370"/>
      <c r="U1" s="1370">
        <v>4</v>
      </c>
      <c r="V1" s="1370"/>
      <c r="AG1" s="424"/>
      <c r="AH1" s="421" t="s">
        <v>14</v>
      </c>
    </row>
    <row s="1370" customFormat="1" customHeight="1" ht="15" hidden="1">
      <c r="C2" s="676"/>
      <c r="K2" s="1370"/>
      <c r="L2" s="1370"/>
      <c r="M2" s="1370"/>
      <c r="N2" s="1370"/>
      <c r="O2" s="1370"/>
      <c r="P2" s="1370"/>
      <c r="Q2" s="1370"/>
      <c r="R2" s="1370"/>
      <c r="S2" s="1370"/>
      <c r="T2" s="1370"/>
      <c r="U2" s="1370"/>
      <c r="V2" s="1370"/>
      <c r="AG2" s="424"/>
      <c r="AH2" s="421">
        <v>0</v>
      </c>
    </row>
    <row customHeight="1" ht="22.5" hidden="1">
      <c r="A3" s="509"/>
      <c r="B3" s="2401"/>
      <c r="C3" s="2402" t="s">
        <v>104</v>
      </c>
      <c r="D3" s="693" t="str">
        <f>B3&amp;".1"</f>
        <v>.1</v>
      </c>
      <c r="E3" s="694" t="s">
        <v>1200</v>
      </c>
      <c r="F3" s="695" t="s">
        <v>324</v>
      </c>
      <c r="G3" s="690"/>
      <c r="H3" s="405"/>
      <c r="I3" s="690"/>
      <c r="J3" s="405"/>
      <c r="K3" s="2357"/>
      <c r="L3" s="822"/>
      <c r="M3" s="2357"/>
      <c r="N3" s="822"/>
      <c r="O3" s="2357"/>
      <c r="P3" s="822"/>
      <c r="Q3" s="2357"/>
      <c r="R3" s="822"/>
      <c r="S3" s="2357"/>
      <c r="T3" s="822"/>
      <c r="U3" s="2357"/>
      <c r="V3" s="822"/>
      <c r="W3" s="293" t="s">
        <v>1201</v>
      </c>
      <c r="AH3" s="509">
        <v>0</v>
      </c>
    </row>
    <row customHeight="1" ht="15" hidden="1">
      <c r="A4" s="509"/>
      <c r="B4" s="2401"/>
      <c r="C4" s="2402"/>
      <c r="D4" s="693" t="str">
        <f>B3&amp;".2"</f>
        <v>.2</v>
      </c>
      <c r="E4" s="694" t="s">
        <v>1202</v>
      </c>
      <c r="F4" s="695" t="s">
        <v>324</v>
      </c>
      <c r="G4" s="1742" t="s">
        <v>22</v>
      </c>
      <c r="H4" s="405"/>
      <c r="I4" s="1742" t="s">
        <v>22</v>
      </c>
      <c r="J4" s="405"/>
      <c r="K4" s="1742" t="s">
        <v>22</v>
      </c>
      <c r="L4" s="822"/>
      <c r="M4" s="1742" t="s">
        <v>22</v>
      </c>
      <c r="N4" s="822"/>
      <c r="O4" s="1742" t="s">
        <v>22</v>
      </c>
      <c r="P4" s="822"/>
      <c r="Q4" s="1742" t="s">
        <v>22</v>
      </c>
      <c r="R4" s="822"/>
      <c r="S4" s="1742" t="s">
        <v>22</v>
      </c>
      <c r="T4" s="822"/>
      <c r="U4" s="1742" t="s">
        <v>22</v>
      </c>
      <c r="V4" s="822"/>
      <c r="W4" s="293" t="s">
        <v>1203</v>
      </c>
      <c r="AH4" s="509">
        <v>0</v>
      </c>
    </row>
    <row s="1370" customFormat="1" customHeight="1" ht="15" hidden="1">
      <c r="C5" s="676"/>
      <c r="K5" s="1370"/>
      <c r="L5" s="1370"/>
      <c r="M5" s="1370"/>
      <c r="N5" s="1370"/>
      <c r="O5" s="1370"/>
      <c r="P5" s="1370"/>
      <c r="Q5" s="1370"/>
      <c r="R5" s="1370"/>
      <c r="S5" s="1370"/>
      <c r="T5" s="1370"/>
      <c r="U5" s="1370"/>
      <c r="V5" s="1370"/>
      <c r="AG5" s="424"/>
      <c r="AH5" s="421">
        <v>0</v>
      </c>
    </row>
    <row customHeight="1" ht="22.5" hidden="1">
      <c r="A6" s="509"/>
      <c r="B6" s="2401"/>
      <c r="C6" s="2402" t="s">
        <v>104</v>
      </c>
      <c r="D6" s="693" t="str">
        <f>B6&amp;".1"</f>
        <v>.1</v>
      </c>
      <c r="E6" s="694" t="s">
        <v>1204</v>
      </c>
      <c r="F6" s="695" t="s">
        <v>324</v>
      </c>
      <c r="G6" s="690"/>
      <c r="H6" s="405"/>
      <c r="I6" s="690"/>
      <c r="J6" s="405"/>
      <c r="K6" s="2357"/>
      <c r="L6" s="822"/>
      <c r="M6" s="2357"/>
      <c r="N6" s="822"/>
      <c r="O6" s="2357"/>
      <c r="P6" s="822"/>
      <c r="Q6" s="2357"/>
      <c r="R6" s="822"/>
      <c r="S6" s="2357"/>
      <c r="T6" s="822"/>
      <c r="U6" s="2357"/>
      <c r="V6" s="822"/>
      <c r="W6" s="293" t="s">
        <v>1205</v>
      </c>
      <c r="AH6" s="509">
        <v>0</v>
      </c>
    </row>
    <row customHeight="1" ht="15" hidden="1">
      <c r="A7" s="509"/>
      <c r="B7" s="2401"/>
      <c r="C7" s="2402"/>
      <c r="D7" s="693" t="str">
        <f>B6&amp;".2"</f>
        <v>.2</v>
      </c>
      <c r="E7" s="694" t="s">
        <v>1202</v>
      </c>
      <c r="F7" s="695" t="s">
        <v>324</v>
      </c>
      <c r="G7" s="1742" t="s">
        <v>22</v>
      </c>
      <c r="H7" s="405"/>
      <c r="I7" s="1742" t="s">
        <v>22</v>
      </c>
      <c r="J7" s="405"/>
      <c r="K7" s="1742" t="s">
        <v>22</v>
      </c>
      <c r="L7" s="822"/>
      <c r="M7" s="1742" t="s">
        <v>22</v>
      </c>
      <c r="N7" s="822"/>
      <c r="O7" s="1742" t="s">
        <v>22</v>
      </c>
      <c r="P7" s="822"/>
      <c r="Q7" s="1742" t="s">
        <v>22</v>
      </c>
      <c r="R7" s="822"/>
      <c r="S7" s="1742" t="s">
        <v>22</v>
      </c>
      <c r="T7" s="822"/>
      <c r="U7" s="1742" t="s">
        <v>22</v>
      </c>
      <c r="V7" s="822"/>
      <c r="W7" s="293" t="s">
        <v>1203</v>
      </c>
      <c r="AH7" s="509">
        <v>0</v>
      </c>
    </row>
    <row s="1370" customFormat="1" customHeight="1" ht="15" hidden="1">
      <c r="C8" s="676"/>
      <c r="K8" s="1370"/>
      <c r="L8" s="1370"/>
      <c r="M8" s="1370"/>
      <c r="N8" s="1370"/>
      <c r="O8" s="1370"/>
      <c r="P8" s="1370"/>
      <c r="Q8" s="1370"/>
      <c r="R8" s="1370"/>
      <c r="S8" s="1370"/>
      <c r="T8" s="1370"/>
      <c r="U8" s="1370"/>
      <c r="V8" s="1370"/>
      <c r="AG8" s="424"/>
      <c r="AH8" s="421">
        <v>0</v>
      </c>
    </row>
    <row customHeight="1" ht="22.5" hidden="1">
      <c r="A9" s="509"/>
      <c r="B9" s="2401"/>
      <c r="C9" s="2402" t="s">
        <v>104</v>
      </c>
      <c r="D9" s="693" t="str">
        <f>B9&amp;".1"</f>
        <v>.1</v>
      </c>
      <c r="E9" s="694" t="s">
        <v>1206</v>
      </c>
      <c r="F9" s="695" t="s">
        <v>324</v>
      </c>
      <c r="G9" s="701" t="s">
        <v>22</v>
      </c>
      <c r="H9" s="405" t="s">
        <v>22</v>
      </c>
      <c r="I9" s="701" t="s">
        <v>22</v>
      </c>
      <c r="J9" s="405" t="s">
        <v>22</v>
      </c>
      <c r="K9" s="865" t="s">
        <v>22</v>
      </c>
      <c r="L9" s="822" t="s">
        <v>22</v>
      </c>
      <c r="M9" s="865" t="s">
        <v>22</v>
      </c>
      <c r="N9" s="822" t="s">
        <v>22</v>
      </c>
      <c r="O9" s="865" t="s">
        <v>22</v>
      </c>
      <c r="P9" s="822" t="s">
        <v>22</v>
      </c>
      <c r="Q9" s="865" t="s">
        <v>22</v>
      </c>
      <c r="R9" s="822" t="s">
        <v>22</v>
      </c>
      <c r="S9" s="865" t="s">
        <v>22</v>
      </c>
      <c r="T9" s="822" t="s">
        <v>22</v>
      </c>
      <c r="U9" s="865" t="s">
        <v>22</v>
      </c>
      <c r="V9" s="822" t="s">
        <v>22</v>
      </c>
      <c r="W9" s="293"/>
      <c r="AH9" s="509">
        <v>0</v>
      </c>
    </row>
    <row customHeight="1" ht="15" hidden="1">
      <c r="A10" s="509"/>
      <c r="B10" s="2401"/>
      <c r="C10" s="2402"/>
      <c r="D10" s="693" t="str">
        <f>B9&amp;".2"</f>
        <v>.2</v>
      </c>
      <c r="E10" s="694" t="s">
        <v>1207</v>
      </c>
      <c r="F10" s="695" t="s">
        <v>324</v>
      </c>
      <c r="G10" s="1736" t="s">
        <v>22</v>
      </c>
      <c r="H10" s="405" t="s">
        <v>22</v>
      </c>
      <c r="I10" s="1736" t="s">
        <v>22</v>
      </c>
      <c r="J10" s="405" t="s">
        <v>22</v>
      </c>
      <c r="K10" s="1736" t="s">
        <v>22</v>
      </c>
      <c r="L10" s="822" t="s">
        <v>22</v>
      </c>
      <c r="M10" s="1736" t="s">
        <v>22</v>
      </c>
      <c r="N10" s="822" t="s">
        <v>22</v>
      </c>
      <c r="O10" s="1736" t="s">
        <v>22</v>
      </c>
      <c r="P10" s="822" t="s">
        <v>22</v>
      </c>
      <c r="Q10" s="1736" t="s">
        <v>22</v>
      </c>
      <c r="R10" s="822" t="s">
        <v>22</v>
      </c>
      <c r="S10" s="1736" t="s">
        <v>22</v>
      </c>
      <c r="T10" s="822" t="s">
        <v>22</v>
      </c>
      <c r="U10" s="1736" t="s">
        <v>22</v>
      </c>
      <c r="V10" s="822" t="s">
        <v>22</v>
      </c>
      <c r="W10" s="293" t="s">
        <v>1208</v>
      </c>
      <c r="AH10" s="509">
        <v>0</v>
      </c>
    </row>
    <row customHeight="1" ht="15" hidden="1">
      <c r="A11" s="509"/>
      <c r="B11" s="2401"/>
      <c r="C11" s="2402"/>
      <c r="D11" s="693" t="str">
        <f>B9&amp;".3"</f>
        <v>.3</v>
      </c>
      <c r="E11" s="694" t="s">
        <v>1209</v>
      </c>
      <c r="F11" s="695" t="s">
        <v>324</v>
      </c>
      <c r="G11" s="1736" t="s">
        <v>22</v>
      </c>
      <c r="H11" s="405" t="s">
        <v>22</v>
      </c>
      <c r="I11" s="1736" t="s">
        <v>22</v>
      </c>
      <c r="J11" s="405" t="s">
        <v>22</v>
      </c>
      <c r="K11" s="1736" t="s">
        <v>22</v>
      </c>
      <c r="L11" s="822" t="s">
        <v>22</v>
      </c>
      <c r="M11" s="1736" t="s">
        <v>22</v>
      </c>
      <c r="N11" s="822" t="s">
        <v>22</v>
      </c>
      <c r="O11" s="1736" t="s">
        <v>22</v>
      </c>
      <c r="P11" s="822" t="s">
        <v>22</v>
      </c>
      <c r="Q11" s="1736" t="s">
        <v>22</v>
      </c>
      <c r="R11" s="822" t="s">
        <v>22</v>
      </c>
      <c r="S11" s="1736" t="s">
        <v>22</v>
      </c>
      <c r="T11" s="822" t="s">
        <v>22</v>
      </c>
      <c r="U11" s="1736" t="s">
        <v>22</v>
      </c>
      <c r="V11" s="822" t="s">
        <v>22</v>
      </c>
      <c r="W11" s="293" t="s">
        <v>1210</v>
      </c>
      <c r="AH11" s="509">
        <v>0</v>
      </c>
    </row>
    <row s="1370" customFormat="1" customHeight="1" ht="15" hidden="1">
      <c r="C12" s="676"/>
      <c r="K12" s="1370"/>
      <c r="L12" s="1370"/>
      <c r="M12" s="1370"/>
      <c r="N12" s="1370"/>
      <c r="O12" s="1370"/>
      <c r="P12" s="1370"/>
      <c r="Q12" s="1370"/>
      <c r="R12" s="1370"/>
      <c r="S12" s="1370"/>
      <c r="T12" s="1370"/>
      <c r="U12" s="1370"/>
      <c r="V12" s="1370"/>
      <c r="AG12" s="424"/>
      <c r="AH12" s="421">
        <v>0</v>
      </c>
    </row>
    <row customHeight="1" ht="33.75" hidden="1">
      <c r="A13" s="509"/>
      <c r="B13" s="2401"/>
      <c r="C13" s="2402" t="s">
        <v>104</v>
      </c>
      <c r="D13" s="693" t="str">
        <f>B13&amp;".1"</f>
        <v>.1</v>
      </c>
      <c r="E13" s="694" t="s">
        <v>1211</v>
      </c>
      <c r="F13" s="695" t="s">
        <v>324</v>
      </c>
      <c r="G13" s="701" t="s">
        <v>22</v>
      </c>
      <c r="H13" s="405" t="s">
        <v>22</v>
      </c>
      <c r="I13" s="701" t="s">
        <v>22</v>
      </c>
      <c r="J13" s="405" t="s">
        <v>22</v>
      </c>
      <c r="K13" s="865" t="s">
        <v>22</v>
      </c>
      <c r="L13" s="822" t="s">
        <v>22</v>
      </c>
      <c r="M13" s="865" t="s">
        <v>22</v>
      </c>
      <c r="N13" s="822" t="s">
        <v>22</v>
      </c>
      <c r="O13" s="865" t="s">
        <v>22</v>
      </c>
      <c r="P13" s="822" t="s">
        <v>22</v>
      </c>
      <c r="Q13" s="865" t="s">
        <v>22</v>
      </c>
      <c r="R13" s="822" t="s">
        <v>22</v>
      </c>
      <c r="S13" s="865" t="s">
        <v>22</v>
      </c>
      <c r="T13" s="822" t="s">
        <v>22</v>
      </c>
      <c r="U13" s="865" t="s">
        <v>22</v>
      </c>
      <c r="V13" s="822" t="s">
        <v>22</v>
      </c>
      <c r="W13" s="293" t="s">
        <v>1212</v>
      </c>
      <c r="AH13" s="509">
        <v>0</v>
      </c>
    </row>
    <row customHeight="1" ht="15" hidden="1">
      <c r="B14" s="2401"/>
      <c r="C14" s="2402"/>
      <c r="D14" s="693" t="str">
        <f>B13&amp;".2"</f>
        <v>.2</v>
      </c>
      <c r="E14" s="694" t="s">
        <v>1213</v>
      </c>
      <c r="F14" s="695" t="s">
        <v>324</v>
      </c>
      <c r="G14" s="1736" t="s">
        <v>22</v>
      </c>
      <c r="H14" s="405" t="s">
        <v>22</v>
      </c>
      <c r="I14" s="1736" t="s">
        <v>22</v>
      </c>
      <c r="J14" s="405" t="s">
        <v>22</v>
      </c>
      <c r="K14" s="1736" t="s">
        <v>22</v>
      </c>
      <c r="L14" s="822" t="s">
        <v>22</v>
      </c>
      <c r="M14" s="1736" t="s">
        <v>22</v>
      </c>
      <c r="N14" s="822" t="s">
        <v>22</v>
      </c>
      <c r="O14" s="1736" t="s">
        <v>22</v>
      </c>
      <c r="P14" s="822" t="s">
        <v>22</v>
      </c>
      <c r="Q14" s="1736" t="s">
        <v>22</v>
      </c>
      <c r="R14" s="822" t="s">
        <v>22</v>
      </c>
      <c r="S14" s="1736" t="s">
        <v>22</v>
      </c>
      <c r="T14" s="822" t="s">
        <v>22</v>
      </c>
      <c r="U14" s="1736" t="s">
        <v>22</v>
      </c>
      <c r="V14" s="822" t="s">
        <v>22</v>
      </c>
      <c r="W14" s="293" t="s">
        <v>1214</v>
      </c>
      <c r="AH14" s="509">
        <v>0</v>
      </c>
    </row>
    <row s="1370" customFormat="1" customHeight="1" ht="15" hidden="1">
      <c r="C15" s="676"/>
      <c r="K15" s="1370"/>
      <c r="L15" s="1370"/>
      <c r="M15" s="1370"/>
      <c r="N15" s="1370"/>
      <c r="O15" s="1370"/>
      <c r="P15" s="1370"/>
      <c r="Q15" s="1370"/>
      <c r="R15" s="1370"/>
      <c r="S15" s="1370"/>
      <c r="T15" s="1370"/>
      <c r="U15" s="1370"/>
      <c r="V15" s="1370"/>
      <c r="AG15" s="424"/>
      <c r="AH15" s="421">
        <v>0</v>
      </c>
    </row>
    <row s="1370" customFormat="1" customHeight="1" ht="15" hidden="1">
      <c r="C16" s="676"/>
      <c r="K16" s="1370"/>
      <c r="L16" s="1370"/>
      <c r="M16" s="1370"/>
      <c r="N16" s="1370"/>
      <c r="O16" s="1370"/>
      <c r="P16" s="1370"/>
      <c r="Q16" s="1370"/>
      <c r="R16" s="1370"/>
      <c r="S16" s="1370"/>
      <c r="T16" s="1370"/>
      <c r="U16" s="1370"/>
      <c r="V16" s="1370"/>
      <c r="AG16" s="424"/>
      <c r="AH16" s="421">
        <v>0</v>
      </c>
    </row>
    <row s="1370" customFormat="1" customHeight="1" ht="15" hidden="1">
      <c r="C17" s="676"/>
      <c r="K17" s="1370"/>
      <c r="L17" s="1370"/>
      <c r="M17" s="1370"/>
      <c r="N17" s="1370"/>
      <c r="O17" s="1370"/>
      <c r="P17" s="1370"/>
      <c r="Q17" s="1370"/>
      <c r="R17" s="1370"/>
      <c r="S17" s="1370"/>
      <c r="T17" s="1370"/>
      <c r="U17" s="1370"/>
      <c r="V17" s="1370"/>
      <c r="AG17" s="424"/>
      <c r="AH17" s="421">
        <v>0</v>
      </c>
    </row>
    <row s="1370" customFormat="1" customHeight="1" ht="15" hidden="1">
      <c r="C18" s="676"/>
      <c r="K18" s="1370"/>
      <c r="L18" s="1370"/>
      <c r="M18" s="1370"/>
      <c r="N18" s="1370"/>
      <c r="O18" s="1370"/>
      <c r="P18" s="1370"/>
      <c r="Q18" s="1370"/>
      <c r="R18" s="1370"/>
      <c r="S18" s="1370"/>
      <c r="T18" s="1370"/>
      <c r="U18" s="1370"/>
      <c r="V18" s="1370"/>
      <c r="AG18" s="424"/>
      <c r="AH18" s="421">
        <v>0</v>
      </c>
    </row>
    <row s="1370" customFormat="1" customHeight="1" ht="15" hidden="1">
      <c r="C19" s="676"/>
      <c r="K19" s="1370"/>
      <c r="L19" s="1370"/>
      <c r="M19" s="1370"/>
      <c r="N19" s="1370"/>
      <c r="O19" s="1370"/>
      <c r="P19" s="1370"/>
      <c r="Q19" s="1370"/>
      <c r="R19" s="1370"/>
      <c r="S19" s="1370"/>
      <c r="T19" s="1370"/>
      <c r="U19" s="1370"/>
      <c r="V19" s="1370"/>
      <c r="AG19" s="424"/>
      <c r="AH19" s="421">
        <v>0</v>
      </c>
    </row>
    <row s="1370" customFormat="1" customHeight="1" ht="15" hidden="1">
      <c r="C20" s="676"/>
      <c r="K20" s="1370"/>
      <c r="L20" s="1370"/>
      <c r="M20" s="1370"/>
      <c r="N20" s="1370"/>
      <c r="O20" s="1370"/>
      <c r="P20" s="1370"/>
      <c r="Q20" s="1370"/>
      <c r="R20" s="1370"/>
      <c r="S20" s="1370"/>
      <c r="T20" s="1370"/>
      <c r="U20" s="1370"/>
      <c r="V20" s="1370"/>
      <c r="AG20" s="424"/>
      <c r="AH20" s="421">
        <v>0</v>
      </c>
    </row>
    <row customHeight="1" ht="15.75">
      <c r="C21" s="180"/>
      <c r="D21" s="513"/>
      <c r="E21" s="513"/>
      <c r="F21" s="513"/>
      <c r="G21" s="513"/>
      <c r="H21" s="513"/>
      <c r="I21" s="513"/>
      <c r="J21" s="513"/>
      <c r="K21" s="1639"/>
      <c r="L21" s="1639"/>
      <c r="M21" s="1639"/>
      <c r="N21" s="1639"/>
      <c r="O21" s="1639"/>
      <c r="P21" s="1639"/>
      <c r="Q21" s="1639"/>
      <c r="R21" s="1639"/>
      <c r="S21" s="1639"/>
      <c r="T21" s="1639"/>
      <c r="U21" s="1639"/>
      <c r="V21" s="1639"/>
      <c r="AH21" s="509">
        <v>15</v>
      </c>
    </row>
    <row customHeight="1" ht="23.25">
      <c r="C22" s="180"/>
      <c r="D22" s="22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1"/>
      <c r="F22" s="2241"/>
      <c r="G22" s="2241"/>
      <c r="H22" s="2241"/>
      <c r="I22" s="2241"/>
      <c r="J22" s="680"/>
      <c r="K22" s="2252"/>
      <c r="L22" s="2252"/>
      <c r="M22" s="2252"/>
      <c r="N22" s="2252"/>
      <c r="O22" s="2252"/>
      <c r="P22" s="2252"/>
      <c r="Q22" s="2252"/>
      <c r="R22" s="2252"/>
      <c r="S22" s="2252"/>
      <c r="T22" s="2252"/>
      <c r="U22" s="2252"/>
      <c r="V22" s="2252"/>
      <c r="W22" s="541"/>
      <c r="AH22" s="509">
        <v>22</v>
      </c>
    </row>
    <row customHeight="1" ht="15.75">
      <c r="C23" s="180"/>
      <c r="D23" s="2180" t="str">
        <f>IF(org=0,"Не определено",org)</f>
        <v>АО "Теплоэнерго"</v>
      </c>
      <c r="E23" s="2180"/>
      <c r="F23" s="2180"/>
      <c r="G23" s="2180"/>
      <c r="H23" s="2180"/>
      <c r="I23" s="2180"/>
      <c r="J23" s="680"/>
      <c r="K23" s="2253"/>
      <c r="L23" s="2253"/>
      <c r="M23" s="2253"/>
      <c r="N23" s="2253"/>
      <c r="O23" s="2253"/>
      <c r="P23" s="2253"/>
      <c r="Q23" s="2253"/>
      <c r="R23" s="2253"/>
      <c r="S23" s="2253"/>
      <c r="T23" s="2253"/>
      <c r="U23" s="2253"/>
      <c r="V23" s="2253"/>
      <c r="W23" s="541"/>
      <c r="AH23" s="509">
        <v>15</v>
      </c>
    </row>
    <row customHeight="1" ht="15.75">
      <c r="C24" s="180"/>
      <c r="D24" s="513"/>
      <c r="E24" s="513"/>
      <c r="F24" s="513"/>
      <c r="G24" s="541">
        <v>22</v>
      </c>
      <c r="H24" s="756"/>
      <c r="I24" s="541">
        <v>22</v>
      </c>
      <c r="J24" s="756"/>
      <c r="K24" s="1370" t="s">
        <v>22</v>
      </c>
      <c r="L24" s="756"/>
      <c r="M24" s="1370" t="s">
        <v>22</v>
      </c>
      <c r="N24" s="756"/>
      <c r="O24" s="1370" t="s">
        <v>22</v>
      </c>
      <c r="P24" s="756"/>
      <c r="Q24" s="1370" t="s">
        <v>22</v>
      </c>
      <c r="R24" s="756"/>
      <c r="S24" s="1370" t="s">
        <v>22</v>
      </c>
      <c r="T24" s="756"/>
      <c r="U24" s="1370" t="s">
        <v>22</v>
      </c>
      <c r="V24" s="756"/>
      <c r="AH24" s="509">
        <v>15</v>
      </c>
    </row>
    <row s="1639" customFormat="1" customHeight="1" ht="1.05">
      <c r="A25" s="763"/>
      <c r="C25" s="180"/>
      <c r="D25" s="513"/>
      <c r="E25" s="513"/>
      <c r="F25" s="513"/>
      <c r="G25" s="541"/>
      <c r="H25" s="756"/>
      <c r="I25" s="541" t="s">
        <v>126</v>
      </c>
      <c r="J25" s="756"/>
      <c r="K25" s="1370" t="s">
        <v>130</v>
      </c>
      <c r="L25" s="756"/>
      <c r="M25" s="1370" t="s">
        <v>132</v>
      </c>
      <c r="N25" s="756"/>
      <c r="O25" s="1370" t="s">
        <v>134</v>
      </c>
      <c r="P25" s="756"/>
      <c r="Q25" s="1370" t="s">
        <v>137</v>
      </c>
      <c r="R25" s="756"/>
      <c r="S25" s="1370" t="s">
        <v>136</v>
      </c>
      <c r="T25" s="756"/>
      <c r="U25" s="1370" t="s">
        <v>139</v>
      </c>
      <c r="V25" s="756"/>
      <c r="W25" s="421"/>
      <c r="AG25" s="679"/>
      <c r="AH25" s="762">
        <v>1</v>
      </c>
    </row>
    <row customHeight="1" ht="15.75">
      <c r="C26" s="180"/>
      <c r="D26" s="715"/>
      <c r="E26" s="2371" t="s">
        <v>115</v>
      </c>
      <c r="F26" s="2372"/>
      <c r="G26" s="2399" t="str">
        <f>IF(G25="","",INDEX(DIFFERENTIATION_UNMERGE_VD,MATCH(G25,DIFFERENTIATION_ID_DIFF,0)))</f>
        <v/>
      </c>
      <c r="H26" s="2400"/>
      <c r="I26" s="2399"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400"/>
      <c r="K26" s="2399" t="str">
        <f>IF(K25="","",INDEX(DIFFERENTIATION_UNMERGE_VD,MATCH(K25,DIFFERENTIATION_ID_DIFF,0)))</f>
        <v>Производство тепловой энергии. Некомбинированная выработка; Передача. Тепловая энергия; Сбыт. Тепловая энергия</v>
      </c>
      <c r="L26" s="2400"/>
      <c r="M26" s="2399" t="str">
        <f>IF(M25="","",INDEX(DIFFERENTIATION_UNMERGE_VD,MATCH(M25,DIFFERENTIATION_ID_DIFF,0)))</f>
        <v>Производство тепловой энергии. Некомбинированная выработка; Передача. Тепловая энергия</v>
      </c>
      <c r="N26" s="2400"/>
      <c r="O26" s="2399" t="str">
        <f>IF(O25="","",INDEX(DIFFERENTIATION_UNMERGE_VD,MATCH(O25,DIFFERENTIATION_ID_DIFF,0)))</f>
        <v>Производство. Теплоноситель</v>
      </c>
      <c r="P26" s="2400"/>
      <c r="Q26" s="2399" t="str">
        <f>IF(Q25="","",INDEX(DIFFERENTIATION_UNMERGE_VD,MATCH(Q25,DIFFERENTIATION_ID_DIFF,0)))</f>
        <v>Подключение (технологическое присоединение) к системе теплоснабжения</v>
      </c>
      <c r="R26" s="2400"/>
      <c r="S26" s="2399" t="str">
        <f>IF(S25="","",INDEX(DIFFERENTIATION_UNMERGE_VD,MATCH(S25,DIFFERENTIATION_ID_DIFF,0)))</f>
        <v>Производство. Теплоноситель</v>
      </c>
      <c r="T26" s="2400"/>
      <c r="U26" s="2399" t="str">
        <f>IF(U25="","",INDEX(DIFFERENTIATION_UNMERGE_VD,MATCH(U25,DIFFERENTIATION_ID_DIFF,0)))</f>
        <v>Поддержание резервной тепловой мощности при отсутствии потребления тепловой энергии</v>
      </c>
      <c r="V26" s="2400"/>
      <c r="W26" s="2179" t="s">
        <v>319</v>
      </c>
      <c r="AH26" s="509">
        <v>15</v>
      </c>
    </row>
    <row s="1639" customFormat="1" customHeight="1" ht="15.75">
      <c r="A27" s="763"/>
      <c r="C27" s="180"/>
      <c r="D27" s="715"/>
      <c r="E27" s="2371" t="s">
        <v>582</v>
      </c>
      <c r="F27" s="2372"/>
      <c r="G27" s="2399" t="str">
        <f>IF(G25="","",INDEX(DIFFERENTIATION_UNMERGE_AREA,MATCH(G25,DIFFERENTIATION_ID_DIFF,0)))</f>
        <v/>
      </c>
      <c r="H27" s="2400"/>
      <c r="I27" s="2399" t="str">
        <f>IF(I25="","",INDEX(DIFFERENTIATION_UNMERGE_AREA,MATCH(I25,DIFFERENTIATION_ID_DIFF,0)))</f>
        <v>Территория 1</v>
      </c>
      <c r="J27" s="2400"/>
      <c r="K27" s="2399" t="str">
        <f>IF(K25="","",INDEX(DIFFERENTIATION_UNMERGE_AREA,MATCH(K25,DIFFERENTIATION_ID_DIFF,0)))</f>
        <v>Территория 3</v>
      </c>
      <c r="L27" s="2400"/>
      <c r="M27" s="2399" t="str">
        <f>IF(M25="","",INDEX(DIFFERENTIATION_UNMERGE_AREA,MATCH(M25,DIFFERENTIATION_ID_DIFF,0)))</f>
        <v>Территория 2</v>
      </c>
      <c r="N27" s="2400"/>
      <c r="O27" s="2399" t="str">
        <f>IF(O25="","",INDEX(DIFFERENTIATION_UNMERGE_AREA,MATCH(O25,DIFFERENTIATION_ID_DIFF,0)))</f>
        <v>Территория 1</v>
      </c>
      <c r="P27" s="2400"/>
      <c r="Q27" s="2399" t="str">
        <f>IF(Q25="","",INDEX(DIFFERENTIATION_UNMERGE_AREA,MATCH(Q25,DIFFERENTIATION_ID_DIFF,0)))</f>
        <v>Территория 1</v>
      </c>
      <c r="R27" s="2400"/>
      <c r="S27" s="2399" t="str">
        <f>IF(S25="","",INDEX(DIFFERENTIATION_UNMERGE_AREA,MATCH(S25,DIFFERENTIATION_ID_DIFF,0)))</f>
        <v>Территория 2</v>
      </c>
      <c r="T27" s="2400"/>
      <c r="U27" s="2399" t="str">
        <f>IF(U25="","",INDEX(DIFFERENTIATION_UNMERGE_AREA,MATCH(U25,DIFFERENTIATION_ID_DIFF,0)))</f>
        <v>Территория 1</v>
      </c>
      <c r="V27" s="2400"/>
      <c r="W27" s="2199"/>
      <c r="AG27" s="679"/>
      <c r="AH27" s="762">
        <v>15</v>
      </c>
    </row>
    <row s="1639" customFormat="1" customHeight="1" ht="15.75">
      <c r="A28" s="763"/>
      <c r="C28" s="180"/>
      <c r="D28" s="715"/>
      <c r="E28" s="2371" t="s">
        <v>583</v>
      </c>
      <c r="F28" s="2372"/>
      <c r="G28" s="2399" t="str">
        <f>IF(G25="","",INDEX(DIFFERENTIATION_UNMERGE_SYSTEM,MATCH(G25,DIFFERENTIATION_ID_DIFF,0)))</f>
        <v/>
      </c>
      <c r="H28" s="2400"/>
      <c r="I28" s="2399" t="str">
        <f>IF(I25="","",INDEX(DIFFERENTIATION_UNMERGE_SYSTEM,MATCH(I25,DIFFERENTIATION_ID_DIFF,0)))</f>
        <v>без дифференциации</v>
      </c>
      <c r="J28" s="2400"/>
      <c r="K28" s="2399" t="str">
        <f>IF(K25="","",INDEX(DIFFERENTIATION_UNMERGE_SYSTEM,MATCH(K25,DIFFERENTIATION_ID_DIFF,0)))</f>
        <v>без дифференциации</v>
      </c>
      <c r="L28" s="2400"/>
      <c r="M28" s="2399" t="str">
        <f>IF(M25="","",INDEX(DIFFERENTIATION_UNMERGE_SYSTEM,MATCH(M25,DIFFERENTIATION_ID_DIFF,0)))</f>
        <v>без дифференциации</v>
      </c>
      <c r="N28" s="2400"/>
      <c r="O28" s="2399" t="str">
        <f>IF(O25="","",INDEX(DIFFERENTIATION_UNMERGE_SYSTEM,MATCH(O25,DIFFERENTIATION_ID_DIFF,0)))</f>
        <v>без дифференциации</v>
      </c>
      <c r="P28" s="2400"/>
      <c r="Q28" s="2399" t="str">
        <f>IF(Q25="","",INDEX(DIFFERENTIATION_UNMERGE_SYSTEM,MATCH(Q25,DIFFERENTIATION_ID_DIFF,0)))</f>
        <v>без дифференциации</v>
      </c>
      <c r="R28" s="2400"/>
      <c r="S28" s="2399" t="str">
        <f>IF(S25="","",INDEX(DIFFERENTIATION_UNMERGE_SYSTEM,MATCH(S25,DIFFERENTIATION_ID_DIFF,0)))</f>
        <v>без дифференциации</v>
      </c>
      <c r="T28" s="2400"/>
      <c r="U28" s="2399" t="str">
        <f>IF(U25="","",INDEX(DIFFERENTIATION_UNMERGE_SYSTEM,MATCH(U25,DIFFERENTIATION_ID_DIFF,0)))</f>
        <v>без дифференциации</v>
      </c>
      <c r="V28" s="2400"/>
      <c r="W28" s="2199"/>
      <c r="AG28" s="679"/>
      <c r="AH28" s="762">
        <v>15</v>
      </c>
    </row>
    <row s="1639" customFormat="1" customHeight="1" ht="15.75">
      <c r="A29" s="763"/>
      <c r="C29" s="180"/>
      <c r="D29" s="2373" t="s">
        <v>318</v>
      </c>
      <c r="E29" s="2374"/>
      <c r="F29" s="2374"/>
      <c r="G29" s="891"/>
      <c r="H29" s="891"/>
      <c r="I29" s="891"/>
      <c r="J29" s="892"/>
      <c r="K29" s="2371"/>
      <c r="L29" s="2371"/>
      <c r="M29" s="2371"/>
      <c r="N29" s="2371"/>
      <c r="O29" s="2371"/>
      <c r="P29" s="2371"/>
      <c r="Q29" s="2371"/>
      <c r="R29" s="2371"/>
      <c r="S29" s="2371"/>
      <c r="T29" s="2371"/>
      <c r="U29" s="2371"/>
      <c r="V29" s="2371"/>
      <c r="W29" s="2199"/>
      <c r="AG29" s="679"/>
      <c r="AH29" s="762">
        <v>15</v>
      </c>
    </row>
    <row customHeight="1" ht="35.699999999999996">
      <c r="C30" s="180"/>
      <c r="D30" s="765" t="s">
        <v>88</v>
      </c>
      <c r="E30" s="764" t="s">
        <v>320</v>
      </c>
      <c r="F30" s="764" t="s">
        <v>584</v>
      </c>
      <c r="G30" s="812" t="s">
        <v>321</v>
      </c>
      <c r="H30" s="811" t="s">
        <v>408</v>
      </c>
      <c r="I30" s="688" t="s">
        <v>321</v>
      </c>
      <c r="J30" s="469" t="s">
        <v>408</v>
      </c>
      <c r="K30" s="2266" t="s">
        <v>321</v>
      </c>
      <c r="L30" s="2370" t="s">
        <v>408</v>
      </c>
      <c r="M30" s="2266" t="s">
        <v>321</v>
      </c>
      <c r="N30" s="2370" t="s">
        <v>408</v>
      </c>
      <c r="O30" s="2266" t="s">
        <v>321</v>
      </c>
      <c r="P30" s="2370" t="s">
        <v>408</v>
      </c>
      <c r="Q30" s="2266" t="s">
        <v>321</v>
      </c>
      <c r="R30" s="2370" t="s">
        <v>408</v>
      </c>
      <c r="S30" s="2266" t="s">
        <v>321</v>
      </c>
      <c r="T30" s="2370" t="s">
        <v>408</v>
      </c>
      <c r="U30" s="2266" t="s">
        <v>321</v>
      </c>
      <c r="V30" s="2370" t="s">
        <v>408</v>
      </c>
      <c r="W30" s="2205"/>
      <c r="AH30" s="509">
        <v>34</v>
      </c>
    </row>
    <row customHeight="1" ht="15" hidden="1">
      <c r="C31" s="180"/>
      <c r="D31" s="597"/>
      <c r="E31" s="597"/>
      <c r="F31" s="597"/>
      <c r="G31" s="663"/>
      <c r="H31" s="663"/>
      <c r="I31" s="663"/>
      <c r="J31" s="663"/>
      <c r="K31" s="687"/>
      <c r="L31" s="687"/>
      <c r="M31" s="687"/>
      <c r="N31" s="687"/>
      <c r="O31" s="687"/>
      <c r="P31" s="687"/>
      <c r="Q31" s="687"/>
      <c r="R31" s="687"/>
      <c r="S31" s="687"/>
      <c r="T31" s="687"/>
      <c r="U31" s="687"/>
      <c r="V31" s="687"/>
      <c r="W31" s="293"/>
      <c r="AH31" s="509">
        <v>0</v>
      </c>
    </row>
    <row customHeight="1" ht="24">
      <c r="A32" s="509"/>
      <c r="B32" s="509" t="s">
        <v>1215</v>
      </c>
      <c r="C32" s="530"/>
      <c r="D32" s="696">
        <v>1</v>
      </c>
      <c r="E32" s="697" t="s">
        <v>1216</v>
      </c>
      <c r="F32" s="695" t="s">
        <v>324</v>
      </c>
      <c r="G32" s="817" t="s">
        <v>324</v>
      </c>
      <c r="H32" s="817" t="s">
        <v>324</v>
      </c>
      <c r="I32" s="695" t="s">
        <v>324</v>
      </c>
      <c r="J32" s="695" t="s">
        <v>324</v>
      </c>
      <c r="K32" s="2267" t="s">
        <v>324</v>
      </c>
      <c r="L32" s="2267" t="s">
        <v>324</v>
      </c>
      <c r="M32" s="2267" t="s">
        <v>324</v>
      </c>
      <c r="N32" s="2267" t="s">
        <v>324</v>
      </c>
      <c r="O32" s="2267" t="s">
        <v>324</v>
      </c>
      <c r="P32" s="2267" t="s">
        <v>324</v>
      </c>
      <c r="Q32" s="2267" t="s">
        <v>324</v>
      </c>
      <c r="R32" s="2267" t="s">
        <v>324</v>
      </c>
      <c r="S32" s="2267" t="s">
        <v>324</v>
      </c>
      <c r="T32" s="2267" t="s">
        <v>324</v>
      </c>
      <c r="U32" s="2267" t="s">
        <v>324</v>
      </c>
      <c r="V32" s="2267" t="s">
        <v>324</v>
      </c>
      <c r="W32" s="293"/>
      <c r="AH32" s="509">
        <v>23</v>
      </c>
    </row>
    <row customHeight="1" ht="11.549999999999999">
      <c r="A33" s="509"/>
      <c r="C33" s="509"/>
      <c r="D33" s="351"/>
      <c r="E33" s="584" t="s">
        <v>726</v>
      </c>
      <c r="F33" s="576"/>
      <c r="G33" s="576"/>
      <c r="H33" s="576"/>
      <c r="I33" s="576"/>
      <c r="J33" s="576"/>
      <c r="K33" s="2702"/>
      <c r="L33" s="2703"/>
      <c r="M33" s="2704"/>
      <c r="N33" s="2705"/>
      <c r="O33" s="2706"/>
      <c r="P33" s="2707"/>
      <c r="Q33" s="2708"/>
      <c r="R33" s="2709"/>
      <c r="S33" s="2710"/>
      <c r="T33" s="2711"/>
      <c r="U33" s="2712"/>
      <c r="V33" s="2713"/>
      <c r="W33" s="577"/>
      <c r="AG33" s="509"/>
      <c r="AH33" s="509">
        <v>11</v>
      </c>
    </row>
    <row customHeight="1" ht="24">
      <c r="A34" s="509"/>
      <c r="B34" s="585" t="s">
        <v>897</v>
      </c>
      <c r="C34" s="530"/>
      <c r="D34" s="696">
        <v>2</v>
      </c>
      <c r="E34" s="697" t="s">
        <v>1217</v>
      </c>
      <c r="F34" s="824" t="s">
        <v>324</v>
      </c>
      <c r="G34" s="824" t="s">
        <v>324</v>
      </c>
      <c r="H34" s="824" t="s">
        <v>324</v>
      </c>
      <c r="I34" s="695"/>
      <c r="J34" s="695"/>
      <c r="K34" s="2267" t="s">
        <v>324</v>
      </c>
      <c r="L34" s="2267" t="s">
        <v>324</v>
      </c>
      <c r="M34" s="2267" t="s">
        <v>324</v>
      </c>
      <c r="N34" s="2267" t="s">
        <v>324</v>
      </c>
      <c r="O34" s="2267" t="s">
        <v>324</v>
      </c>
      <c r="P34" s="2267" t="s">
        <v>324</v>
      </c>
      <c r="Q34" s="2267" t="s">
        <v>324</v>
      </c>
      <c r="R34" s="2267" t="s">
        <v>324</v>
      </c>
      <c r="S34" s="2267" t="s">
        <v>324</v>
      </c>
      <c r="T34" s="2267" t="s">
        <v>324</v>
      </c>
      <c r="U34" s="2267" t="s">
        <v>324</v>
      </c>
      <c r="V34" s="2267" t="s">
        <v>324</v>
      </c>
      <c r="W34" s="293"/>
      <c r="AH34" s="509">
        <v>23</v>
      </c>
    </row>
    <row customHeight="1" ht="11.549999999999999">
      <c r="A35" s="509"/>
      <c r="C35" s="509"/>
      <c r="D35" s="351"/>
      <c r="E35" s="584" t="s">
        <v>1218</v>
      </c>
      <c r="F35" s="576"/>
      <c r="G35" s="698"/>
      <c r="H35" s="576"/>
      <c r="I35" s="698"/>
      <c r="J35" s="576"/>
      <c r="K35" s="2714"/>
      <c r="L35" s="2715"/>
      <c r="M35" s="2716"/>
      <c r="N35" s="2717"/>
      <c r="O35" s="2718"/>
      <c r="P35" s="2719"/>
      <c r="Q35" s="2720"/>
      <c r="R35" s="2721"/>
      <c r="S35" s="2722"/>
      <c r="T35" s="2723"/>
      <c r="U35" s="2724"/>
      <c r="V35" s="2725"/>
      <c r="W35" s="577"/>
      <c r="AG35" s="509"/>
      <c r="AH35" s="509">
        <v>11</v>
      </c>
    </row>
    <row customHeight="1" ht="71.25">
      <c r="A36" s="509"/>
      <c r="B36" s="509" t="s">
        <v>1219</v>
      </c>
      <c r="C36" s="530"/>
      <c r="D36" s="696">
        <v>3</v>
      </c>
      <c r="E36" s="697" t="s">
        <v>1220</v>
      </c>
      <c r="F36" s="699" t="s">
        <v>324</v>
      </c>
      <c r="G36" s="818" t="s">
        <v>1221</v>
      </c>
      <c r="H36" s="817" t="s">
        <v>324</v>
      </c>
      <c r="I36" s="528" t="s">
        <v>1221</v>
      </c>
      <c r="J36" s="695" t="s">
        <v>324</v>
      </c>
      <c r="K36" s="2111" t="s">
        <v>1221</v>
      </c>
      <c r="L36" s="2267" t="s">
        <v>324</v>
      </c>
      <c r="M36" s="2111" t="s">
        <v>1221</v>
      </c>
      <c r="N36" s="2267" t="s">
        <v>324</v>
      </c>
      <c r="O36" s="2111" t="s">
        <v>1221</v>
      </c>
      <c r="P36" s="2267" t="s">
        <v>324</v>
      </c>
      <c r="Q36" s="2111" t="s">
        <v>1221</v>
      </c>
      <c r="R36" s="2267" t="s">
        <v>324</v>
      </c>
      <c r="S36" s="2111" t="s">
        <v>1221</v>
      </c>
      <c r="T36" s="2267" t="s">
        <v>324</v>
      </c>
      <c r="U36" s="2111" t="s">
        <v>1221</v>
      </c>
      <c r="V36" s="2267" t="s">
        <v>324</v>
      </c>
      <c r="W36" s="293" t="s">
        <v>1222</v>
      </c>
      <c r="AH36" s="509">
        <v>68</v>
      </c>
    </row>
    <row customHeight="1" ht="11.549999999999999">
      <c r="A37" s="509"/>
      <c r="C37" s="509"/>
      <c r="D37" s="351"/>
      <c r="E37" s="584" t="s">
        <v>1223</v>
      </c>
      <c r="F37" s="576"/>
      <c r="G37" s="698"/>
      <c r="H37" s="698"/>
      <c r="I37" s="698"/>
      <c r="J37" s="698"/>
      <c r="K37" s="2726"/>
      <c r="L37" s="2727"/>
      <c r="M37" s="2728"/>
      <c r="N37" s="2729"/>
      <c r="O37" s="2730"/>
      <c r="P37" s="2731"/>
      <c r="Q37" s="2732"/>
      <c r="R37" s="2733"/>
      <c r="S37" s="2734"/>
      <c r="T37" s="2735"/>
      <c r="U37" s="2736"/>
      <c r="V37" s="2737"/>
      <c r="W37" s="577"/>
      <c r="AG37" s="509"/>
      <c r="AH37" s="509">
        <v>11</v>
      </c>
    </row>
    <row customHeight="1" ht="71.25">
      <c r="A38" s="509"/>
      <c r="B38" s="509" t="s">
        <v>1224</v>
      </c>
      <c r="C38" s="530"/>
      <c r="D38" s="696">
        <v>4</v>
      </c>
      <c r="E38" s="697" t="s">
        <v>1225</v>
      </c>
      <c r="F38" s="699" t="s">
        <v>324</v>
      </c>
      <c r="G38" s="818" t="s">
        <v>1221</v>
      </c>
      <c r="H38" s="819" t="s">
        <v>324</v>
      </c>
      <c r="I38" s="528" t="s">
        <v>1221</v>
      </c>
      <c r="J38" s="525" t="s">
        <v>324</v>
      </c>
      <c r="K38" s="2111" t="s">
        <v>1221</v>
      </c>
      <c r="L38" s="2370" t="s">
        <v>324</v>
      </c>
      <c r="M38" s="2111" t="s">
        <v>1221</v>
      </c>
      <c r="N38" s="2370" t="s">
        <v>324</v>
      </c>
      <c r="O38" s="2111" t="s">
        <v>1221</v>
      </c>
      <c r="P38" s="2370" t="s">
        <v>324</v>
      </c>
      <c r="Q38" s="2111" t="s">
        <v>1221</v>
      </c>
      <c r="R38" s="2370" t="s">
        <v>324</v>
      </c>
      <c r="S38" s="2111" t="s">
        <v>1221</v>
      </c>
      <c r="T38" s="2370" t="s">
        <v>324</v>
      </c>
      <c r="U38" s="2111" t="s">
        <v>1221</v>
      </c>
      <c r="V38" s="2370" t="s">
        <v>324</v>
      </c>
      <c r="W38" s="683" t="s">
        <v>1226</v>
      </c>
      <c r="AH38" s="509">
        <v>68</v>
      </c>
    </row>
    <row customHeight="1" ht="11.549999999999999">
      <c r="A39" s="509"/>
      <c r="C39" s="509"/>
      <c r="D39" s="351"/>
      <c r="E39" s="584" t="s">
        <v>1227</v>
      </c>
      <c r="F39" s="576"/>
      <c r="G39" s="576"/>
      <c r="H39" s="700"/>
      <c r="I39" s="576"/>
      <c r="J39" s="700"/>
      <c r="K39" s="2738"/>
      <c r="L39" s="2739"/>
      <c r="M39" s="2740"/>
      <c r="N39" s="2741"/>
      <c r="O39" s="2742"/>
      <c r="P39" s="2743"/>
      <c r="Q39" s="2744"/>
      <c r="R39" s="2745"/>
      <c r="S39" s="2746"/>
      <c r="T39" s="2747"/>
      <c r="U39" s="2748"/>
      <c r="V39" s="2749"/>
      <c r="W39" s="577"/>
      <c r="AG39" s="509"/>
      <c r="AH39" s="509">
        <v>11</v>
      </c>
    </row>
    <row customHeight="1" ht="22.5" hidden="1">
      <c r="A40" s="453" t="s">
        <v>82</v>
      </c>
      <c r="B40" s="509">
        <v>0</v>
      </c>
      <c r="C40" s="687">
        <v>4</v>
      </c>
      <c r="D40" s="509">
        <v>6</v>
      </c>
      <c r="E40" s="509">
        <v>36</v>
      </c>
      <c r="F40" s="509">
        <v>9</v>
      </c>
      <c r="G40" s="762">
        <v>0</v>
      </c>
      <c r="H40" s="762">
        <v>0</v>
      </c>
      <c r="I40" s="509">
        <v>25</v>
      </c>
      <c r="J40" s="509">
        <v>33</v>
      </c>
      <c r="K40" s="1639">
        <v>0</v>
      </c>
      <c r="L40" s="1639">
        <v>0</v>
      </c>
      <c r="M40" s="1639">
        <v>0</v>
      </c>
      <c r="N40" s="1639">
        <v>0</v>
      </c>
      <c r="O40" s="1639">
        <v>0</v>
      </c>
      <c r="P40" s="1639">
        <v>0</v>
      </c>
      <c r="Q40" s="1639">
        <v>0</v>
      </c>
      <c r="R40" s="1639">
        <v>0</v>
      </c>
      <c r="S40" s="1639">
        <v>0</v>
      </c>
      <c r="T40" s="1639">
        <v>0</v>
      </c>
      <c r="U40" s="1639">
        <v>0</v>
      </c>
      <c r="V40" s="1639">
        <v>0</v>
      </c>
      <c r="W40" s="421">
        <v>93</v>
      </c>
      <c r="X40" s="509">
        <v>10</v>
      </c>
      <c r="Y40" s="509">
        <v>10</v>
      </c>
      <c r="Z40" s="509">
        <v>10</v>
      </c>
      <c r="AA40" s="509">
        <v>10</v>
      </c>
      <c r="AB40" s="509">
        <v>10</v>
      </c>
      <c r="AC40" s="509">
        <v>10</v>
      </c>
      <c r="AD40" s="509">
        <v>10</v>
      </c>
      <c r="AE40" s="509">
        <v>10</v>
      </c>
      <c r="AF40" s="509">
        <v>10</v>
      </c>
      <c r="AG40" s="679">
        <v>10</v>
      </c>
      <c r="AH40" s="509">
        <v>23</v>
      </c>
    </row>
  </sheetData>
  <sheetProtection formatColumns="0" formatRows="0" autoFilter="0" sort="0" insertRows="0" insertColumns="1" deleteRows="0" deleteColumns="0"/>
  <mergeCells count="39">
    <mergeCell ref="B3:B4"/>
    <mergeCell ref="C3:C4"/>
    <mergeCell ref="B6:B7"/>
    <mergeCell ref="C6:C7"/>
    <mergeCell ref="B9:B11"/>
    <mergeCell ref="C9:C11"/>
    <mergeCell ref="B13:B14"/>
    <mergeCell ref="C13:C14"/>
    <mergeCell ref="D22:I22"/>
    <mergeCell ref="D23:I23"/>
    <mergeCell ref="I26:J26"/>
    <mergeCell ref="E26:F26"/>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H6:H7 J6:J7 L6:L7 N6:N7 P6:P7 R6:R7 T6:T7 V6:V7 J9:J11 L9:L11 N9:N11 P9:P11 R9:R11 T9:T11 V9:V11 H9:H11 J13:J14 L13:L14 N13:N14 P13:P14 R13:R14 T13:T14 V13:V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E023CF-C849-50E1-4D66-C0AF0D85728B}" mc:Ignorable="x14ac xr xr2 xr3">
  <sheetPr>
    <tabColor theme="9" tint="-0.25"/>
  </sheetPr>
  <dimension ref="A1:AE20"/>
  <sheetViews>
    <sheetView showGridLines="0" workbookViewId="0">
      <pane xSplit="7" ySplit="10" topLeftCell="Q13" activePane="bottomRight" state="frozen"/>
      <selection pane="bottomLeft" activeCell="A11" sqref="A11"/>
      <selection pane="topRight" activeCell="H1" sqref="H1"/>
      <selection pane="bottomRight" activeCell="AB15" sqref="AB15"/>
    </sheetView>
  </sheetViews>
  <sheetFormatPr defaultColWidth="9.140625" customHeight="1" defaultRowHeight="10.5"/>
  <cols>
    <col min="1" max="3" style="1170" width="6.7109375" hidden="1" customWidth="1"/>
    <col min="4" max="4" style="1370" width="6.7109375" hidden="1" customWidth="1"/>
    <col min="5" max="5" style="1639" width="3.00390625" customWidth="1"/>
    <col min="6" max="6" style="1639" width="6.00390625" customWidth="1"/>
    <col min="7" max="7" style="1639" width="37.00390625" customWidth="1"/>
    <col min="8" max="8" style="1639" width="16.00390625" customWidth="1"/>
    <col min="9" max="10" style="1639" width="19.00390625" customWidth="1"/>
    <col min="11" max="11" style="1639" width="24.00390625" customWidth="1"/>
    <col min="12" max="13" style="1639" width="25.00390625" customWidth="1"/>
    <col min="14" max="16" style="1639" width="17.00390625" customWidth="1"/>
    <col min="17" max="24" style="1639" width="19.00390625" customWidth="1"/>
    <col min="25" max="25" style="1639" width="7.00390625" customWidth="1"/>
    <col min="26" max="26" style="1639" width="3.00390625" customWidth="1"/>
    <col min="27" max="27" style="1639" width="6.00390625" customWidth="1"/>
    <col min="28" max="28" style="1639" width="34.00390625" customWidth="1"/>
    <col min="29" max="30" style="1639" width="8.00390625" customWidth="1"/>
    <col min="31" max="31" style="1639" width="9.140625" hidden="1"/>
  </cols>
  <sheetData>
    <row s="1370" customFormat="1" customHeight="1" ht="10.5" hidden="1">
      <c r="A1" s="899"/>
      <c r="B1" s="899"/>
      <c r="C1" s="899"/>
      <c r="E1" s="541"/>
      <c r="H1" s="1164"/>
      <c r="AE1" s="421" t="s">
        <v>14</v>
      </c>
    </row>
    <row customHeight="1" ht="10.5" hidden="1">
      <c r="AE2" s="762">
        <v>0</v>
      </c>
    </row>
    <row s="1636" customFormat="1" customHeight="1" ht="10.5" hidden="1">
      <c r="A3" s="899"/>
      <c r="B3" s="899"/>
      <c r="C3" s="899"/>
      <c r="D3" s="421"/>
      <c r="E3" s="366"/>
      <c r="G3" s="1636" t="s">
        <v>1228</v>
      </c>
      <c r="H3" s="1160"/>
      <c r="AE3" s="763">
        <v>0</v>
      </c>
    </row>
    <row customHeight="1" ht="3">
      <c r="AE4" s="762">
        <v>3</v>
      </c>
    </row>
    <row customHeight="1" ht="27.299999999999997">
      <c r="F5" s="22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2"/>
      <c r="H5" s="2252"/>
      <c r="I5" s="2252"/>
      <c r="J5" s="2252"/>
      <c r="K5" s="2252"/>
      <c r="M5" s="586"/>
      <c r="AB5" s="910"/>
      <c r="AE5" s="762">
        <v>26</v>
      </c>
    </row>
    <row s="1639" customFormat="1" customHeight="1" ht="16.8">
      <c r="A6" s="1170"/>
      <c r="B6" s="1170"/>
      <c r="C6" s="1170"/>
      <c r="D6" s="1164"/>
      <c r="E6" s="1639"/>
      <c r="F6" s="2253" t="str">
        <f>IF(org=0,"Не определено",org)</f>
        <v>АО "Теплоэнерго"</v>
      </c>
      <c r="G6" s="2253"/>
      <c r="H6" s="2253"/>
      <c r="I6" s="2253"/>
      <c r="J6" s="2253"/>
      <c r="K6" s="2253"/>
      <c r="M6" s="586"/>
      <c r="AB6" s="1152"/>
      <c r="AE6" s="1635">
        <v>16</v>
      </c>
    </row>
    <row customHeight="1" ht="10.5">
      <c r="AE7" s="762">
        <v>10</v>
      </c>
    </row>
    <row customHeight="1" ht="10.5">
      <c r="A8" s="1055"/>
      <c r="B8" s="1055"/>
      <c r="C8" s="1055"/>
      <c r="F8" s="2105" t="s">
        <v>318</v>
      </c>
      <c r="G8" s="2106"/>
      <c r="H8" s="2106"/>
      <c r="I8" s="2106"/>
      <c r="J8" s="2106"/>
      <c r="K8" s="2106"/>
      <c r="L8" s="2106"/>
      <c r="M8" s="2106"/>
      <c r="N8" s="2106"/>
      <c r="O8" s="2106"/>
      <c r="P8" s="2106"/>
      <c r="Q8" s="2106"/>
      <c r="R8" s="2106"/>
      <c r="S8" s="2106"/>
      <c r="T8" s="2106"/>
      <c r="U8" s="2106"/>
      <c r="V8" s="2106"/>
      <c r="W8" s="2106"/>
      <c r="X8" s="2106"/>
      <c r="Y8" s="2106"/>
      <c r="Z8" s="2106"/>
      <c r="AA8" s="2106"/>
      <c r="AB8" s="2107"/>
      <c r="AE8" s="762">
        <v>10</v>
      </c>
    </row>
    <row customHeight="1" ht="43.050000000000004">
      <c r="A9" s="909"/>
      <c r="B9" s="909"/>
      <c r="C9" s="909"/>
      <c r="F9" s="2131" t="s">
        <v>88</v>
      </c>
      <c r="G9" s="2131" t="s">
        <v>1228</v>
      </c>
      <c r="H9" s="2179" t="s">
        <v>1229</v>
      </c>
      <c r="I9" s="2131" t="s">
        <v>1230</v>
      </c>
      <c r="J9" s="2131" t="s">
        <v>1231</v>
      </c>
      <c r="K9" s="2131" t="s">
        <v>1232</v>
      </c>
      <c r="L9" s="2131" t="s">
        <v>1233</v>
      </c>
      <c r="M9" s="2131" t="s">
        <v>1234</v>
      </c>
      <c r="N9" s="2213" t="s">
        <v>1235</v>
      </c>
      <c r="O9" s="2213"/>
      <c r="P9" s="2213"/>
      <c r="Q9" s="2403" t="s">
        <v>1236</v>
      </c>
      <c r="R9" s="2404"/>
      <c r="S9" s="2404"/>
      <c r="T9" s="2405"/>
      <c r="U9" s="2403" t="s">
        <v>1237</v>
      </c>
      <c r="V9" s="2404"/>
      <c r="W9" s="2404"/>
      <c r="X9" s="2405"/>
      <c r="Y9" s="2105" t="s">
        <v>1238</v>
      </c>
      <c r="Z9" s="2106"/>
      <c r="AA9" s="2106"/>
      <c r="AB9" s="2107"/>
      <c r="AE9" s="762">
        <v>41</v>
      </c>
    </row>
    <row customHeight="1" ht="43.050000000000004">
      <c r="A10" s="909"/>
      <c r="B10" s="909"/>
      <c r="C10" s="909"/>
      <c r="F10" s="2179"/>
      <c r="G10" s="2179"/>
      <c r="H10" s="2236"/>
      <c r="I10" s="2179"/>
      <c r="J10" s="2179"/>
      <c r="K10" s="2179"/>
      <c r="L10" s="2179"/>
      <c r="M10" s="2179"/>
      <c r="N10" s="907" t="s">
        <v>1239</v>
      </c>
      <c r="O10" s="907" t="s">
        <v>1240</v>
      </c>
      <c r="P10" s="908" t="s">
        <v>1241</v>
      </c>
      <c r="Q10" s="919" t="s">
        <v>89</v>
      </c>
      <c r="R10" s="919" t="s">
        <v>1242</v>
      </c>
      <c r="S10" s="919" t="s">
        <v>1243</v>
      </c>
      <c r="T10" s="920" t="s">
        <v>1244</v>
      </c>
      <c r="U10" s="919" t="s">
        <v>89</v>
      </c>
      <c r="V10" s="919" t="s">
        <v>1245</v>
      </c>
      <c r="W10" s="919" t="s">
        <v>1243</v>
      </c>
      <c r="X10" s="920" t="s">
        <v>1244</v>
      </c>
      <c r="Y10" s="305" t="s">
        <v>1246</v>
      </c>
      <c r="Z10" s="2105" t="s">
        <v>88</v>
      </c>
      <c r="AA10" s="2107"/>
      <c r="AB10" s="1053" t="s">
        <v>1247</v>
      </c>
      <c r="AE10" s="762">
        <v>41</v>
      </c>
    </row>
    <row s="1646" customFormat="1" customHeight="1" ht="5.25" hidden="1">
      <c r="A11" s="1056"/>
      <c r="B11" s="1056"/>
      <c r="C11" s="1056"/>
      <c r="E11" s="1054"/>
      <c r="F11" s="2410" t="s">
        <v>394</v>
      </c>
      <c r="G11" s="2407"/>
      <c r="H11" s="2406"/>
      <c r="I11" s="2406"/>
      <c r="J11" s="2406"/>
      <c r="K11" s="2408"/>
      <c r="L11" s="2408"/>
      <c r="M11" s="2408"/>
      <c r="N11" s="2406"/>
      <c r="O11" s="2406"/>
      <c r="P11" s="2131"/>
      <c r="Q11" s="2183"/>
      <c r="R11" s="2183"/>
      <c r="S11" s="2183"/>
      <c r="T11" s="2406"/>
      <c r="U11" s="2183"/>
      <c r="V11" s="2183"/>
      <c r="W11" s="2183"/>
      <c r="X11" s="2406"/>
      <c r="Y11" s="2112"/>
      <c r="Z11" s="2112"/>
      <c r="AA11" s="2112"/>
      <c r="AB11" s="2112"/>
      <c r="AD11" s="515" t="s">
        <v>1248</v>
      </c>
      <c r="AE11" s="515">
        <v>0</v>
      </c>
    </row>
    <row s="1646" customFormat="1" customHeight="1" ht="5.25" hidden="1">
      <c r="A12" s="900"/>
      <c r="B12" s="900"/>
      <c r="C12" s="900"/>
      <c r="E12" s="522"/>
      <c r="F12" s="2410"/>
      <c r="G12" s="2407"/>
      <c r="H12" s="2406"/>
      <c r="I12" s="2406"/>
      <c r="J12" s="2406"/>
      <c r="K12" s="2408"/>
      <c r="L12" s="2408"/>
      <c r="M12" s="2408"/>
      <c r="N12" s="2406"/>
      <c r="O12" s="2406"/>
      <c r="P12" s="2131"/>
      <c r="Q12" s="2183"/>
      <c r="R12" s="2183"/>
      <c r="S12" s="2183"/>
      <c r="T12" s="2406"/>
      <c r="U12" s="2183"/>
      <c r="V12" s="2183"/>
      <c r="W12" s="2183"/>
      <c r="X12" s="2406"/>
      <c r="Y12" s="2409"/>
      <c r="Z12" s="2409"/>
      <c r="AA12" s="2409"/>
      <c r="AB12" s="2409"/>
      <c r="AE12" s="515">
        <v>0</v>
      </c>
    </row>
    <row customHeight="1" ht="27">
      <c r="A13" s="1170"/>
      <c r="B13" s="1170"/>
      <c r="C13" s="1170"/>
      <c r="D13" s="1164"/>
      <c r="E13" s="687" t="s">
        <v>104</v>
      </c>
      <c r="F13" s="2585" t="s">
        <v>119</v>
      </c>
      <c r="G13" s="2586" t="s">
        <v>1249</v>
      </c>
      <c r="H13" s="2587" t="s">
        <v>62</v>
      </c>
      <c r="I13" s="2589">
        <v>44888.37432870371</v>
      </c>
      <c r="J13" s="2552">
        <v>45250.374768518515</v>
      </c>
      <c r="K13" s="2591" t="s">
        <v>1250</v>
      </c>
      <c r="L13" s="2554" t="s">
        <v>1251</v>
      </c>
      <c r="M13" s="2554" t="s">
        <v>1252</v>
      </c>
      <c r="N13" s="2555" t="s">
        <v>1253</v>
      </c>
      <c r="O13" s="2555" t="s">
        <v>1254</v>
      </c>
      <c r="P13" s="2556" t="str">
        <f>DATEDIF(DATEVALUE(N13),DATEVALUE(O13),"y")&amp;"г. "&amp;DATEDIF(DATEVALUE(N13),DATEVALUE(O13),"ym")&amp;"мес. "&amp;DATEVALUE(O13)-DATE(YEAR(DATEVALUE(O13)),MONTH(DATEVALUE(O13)),1)&amp;"дн. "</f>
        <v>24г. 11мес. 30дн. </v>
      </c>
      <c r="Q13" s="2551" t="s">
        <v>1255</v>
      </c>
      <c r="R13" s="2551" t="s">
        <v>1256</v>
      </c>
      <c r="S13" s="2551" t="s">
        <v>1257</v>
      </c>
      <c r="T13" s="2552" t="s">
        <v>1258</v>
      </c>
      <c r="U13" s="2551" t="s">
        <v>1251</v>
      </c>
      <c r="V13" s="2551" t="s">
        <v>1256</v>
      </c>
      <c r="W13" s="2551" t="s">
        <v>1259</v>
      </c>
      <c r="X13" s="2552">
        <v>45250.3778125</v>
      </c>
      <c r="Y13" s="2549" t="s">
        <v>62</v>
      </c>
      <c r="Z13" s="1812"/>
      <c r="AA13" s="1796">
        <v>1</v>
      </c>
      <c r="AB13" s="1246" t="s">
        <v>1260</v>
      </c>
      <c r="AC13" s="1639"/>
      <c r="AD13" s="1640" t="s">
        <v>1261</v>
      </c>
      <c r="AE13" s="1639"/>
    </row>
    <row customHeight="1" ht="67.5">
      <c r="A14" s="1170"/>
      <c r="B14" s="1170"/>
      <c r="C14" s="1170"/>
      <c r="D14" s="1164"/>
      <c r="E14" s="951"/>
      <c r="F14" s="2585" t="s">
        <v>394</v>
      </c>
      <c r="G14" s="2586"/>
      <c r="H14" s="2588"/>
      <c r="I14" s="2590"/>
      <c r="J14" s="2553"/>
      <c r="K14" s="2591"/>
      <c r="L14" s="2554"/>
      <c r="M14" s="2554"/>
      <c r="N14" s="2555"/>
      <c r="O14" s="2555"/>
      <c r="P14" s="2556"/>
      <c r="Q14" s="2551"/>
      <c r="R14" s="2551"/>
      <c r="S14" s="2551"/>
      <c r="T14" s="2553"/>
      <c r="U14" s="2551"/>
      <c r="V14" s="2551"/>
      <c r="W14" s="2551"/>
      <c r="X14" s="2553"/>
      <c r="Y14" s="2550"/>
      <c r="Z14" s="351"/>
      <c r="AA14" s="576"/>
      <c r="AB14" s="656" t="s">
        <v>1262</v>
      </c>
      <c r="AC14" s="1639"/>
      <c r="AD14" s="1639"/>
      <c r="AE14" s="1639"/>
    </row>
    <row customHeight="1" ht="36.75">
      <c r="A15" s="1170"/>
      <c r="B15" s="1170"/>
      <c r="C15" s="1170"/>
      <c r="D15" s="1164"/>
      <c r="E15" s="687" t="s">
        <v>104</v>
      </c>
      <c r="F15" s="2585" t="s">
        <v>103</v>
      </c>
      <c r="G15" s="2586" t="s">
        <v>1263</v>
      </c>
      <c r="H15" s="2587" t="s">
        <v>62</v>
      </c>
      <c r="I15" s="2589">
        <v>44344.38255787037</v>
      </c>
      <c r="J15" s="2552"/>
      <c r="K15" s="2591" t="s">
        <v>1250</v>
      </c>
      <c r="L15" s="2554" t="s">
        <v>1251</v>
      </c>
      <c r="M15" s="2554" t="s">
        <v>1264</v>
      </c>
      <c r="N15" s="2555" t="s">
        <v>1265</v>
      </c>
      <c r="O15" s="2555" t="s">
        <v>1266</v>
      </c>
      <c r="P15" s="2556" t="str">
        <f>DATEDIF(DATEVALUE(N15),DATEVALUE(O15),"y")&amp;"г. "&amp;DATEDIF(DATEVALUE(N15),DATEVALUE(O15),"ym")&amp;"мес. "&amp;DATEVALUE(O15)-DATE(YEAR(DATEVALUE(O15)),MONTH(DATEVALUE(O15)),1)&amp;"дн. "</f>
        <v>9г. 7мес. 30дн. </v>
      </c>
      <c r="Q15" s="2551" t="s">
        <v>1267</v>
      </c>
      <c r="R15" s="2551" t="s">
        <v>1256</v>
      </c>
      <c r="S15" s="2551" t="s">
        <v>1268</v>
      </c>
      <c r="T15" s="2552" t="s">
        <v>1265</v>
      </c>
      <c r="U15" s="2551"/>
      <c r="V15" s="2551"/>
      <c r="W15" s="2551"/>
      <c r="X15" s="2552"/>
      <c r="Y15" s="2549" t="s">
        <v>62</v>
      </c>
      <c r="Z15" s="1812"/>
      <c r="AA15" s="1796">
        <v>1</v>
      </c>
      <c r="AB15" s="1246" t="s">
        <v>1269</v>
      </c>
      <c r="AC15" s="1639"/>
      <c r="AD15" s="1640" t="s">
        <v>1270</v>
      </c>
      <c r="AE15" s="1639"/>
    </row>
    <row customHeight="1" ht="45.75">
      <c r="A16" s="1170"/>
      <c r="B16" s="1170"/>
      <c r="C16" s="1170"/>
      <c r="D16" s="1164"/>
      <c r="E16" s="951"/>
      <c r="F16" s="2585" t="s">
        <v>119</v>
      </c>
      <c r="G16" s="2586"/>
      <c r="H16" s="2588"/>
      <c r="I16" s="2590"/>
      <c r="J16" s="2553"/>
      <c r="K16" s="2591"/>
      <c r="L16" s="2554"/>
      <c r="M16" s="2554"/>
      <c r="N16" s="2555"/>
      <c r="O16" s="2555"/>
      <c r="P16" s="2556"/>
      <c r="Q16" s="2551"/>
      <c r="R16" s="2551"/>
      <c r="S16" s="2551"/>
      <c r="T16" s="2553"/>
      <c r="U16" s="2551"/>
      <c r="V16" s="2551"/>
      <c r="W16" s="2551"/>
      <c r="X16" s="2553"/>
      <c r="Y16" s="2550"/>
      <c r="Z16" s="351"/>
      <c r="AA16" s="576"/>
      <c r="AB16" s="656" t="s">
        <v>1262</v>
      </c>
      <c r="AC16" s="1639"/>
      <c r="AD16" s="1639"/>
      <c r="AE16" s="1639"/>
    </row>
    <row customHeight="1" ht="10.5">
      <c r="F17" s="906"/>
      <c r="G17" s="654" t="s">
        <v>1271</v>
      </c>
      <c r="H17" s="1172"/>
      <c r="I17" s="576"/>
      <c r="J17" s="576"/>
      <c r="K17" s="576"/>
      <c r="L17" s="576"/>
      <c r="M17" s="576"/>
      <c r="N17" s="576"/>
      <c r="O17" s="576"/>
      <c r="P17" s="576"/>
      <c r="Q17" s="576"/>
      <c r="R17" s="576"/>
      <c r="S17" s="576"/>
      <c r="T17" s="576"/>
      <c r="U17" s="576"/>
      <c r="V17" s="576"/>
      <c r="W17" s="576"/>
      <c r="X17" s="576"/>
      <c r="Y17" s="576"/>
      <c r="Z17" s="700"/>
      <c r="AA17" s="700"/>
      <c r="AB17" s="921"/>
      <c r="AE17" s="762">
        <v>10</v>
      </c>
    </row>
    <row customHeight="1" ht="10.5">
      <c r="AE18" s="762">
        <v>10</v>
      </c>
    </row>
    <row s="1646" customFormat="1" customHeight="1" ht="10.5">
      <c r="A19" s="1171"/>
      <c r="B19" s="1171"/>
      <c r="C19" s="1171"/>
      <c r="E19" s="522"/>
      <c r="H19" s="515">
        <f>_xlfn.IFERROR(MATCH("нет",IP_MAIN_DIFFERENTIATION_EVENTS_FLAG,0),0)</f>
        <v>0</v>
      </c>
      <c r="AE19" s="515">
        <v>10</v>
      </c>
    </row>
    <row customHeight="1" ht="10.5" hidden="1">
      <c r="A20" s="899" t="s">
        <v>82</v>
      </c>
      <c r="B20" s="899">
        <v>0</v>
      </c>
      <c r="C20" s="899">
        <v>0</v>
      </c>
      <c r="D20" s="421">
        <v>0</v>
      </c>
      <c r="E20" s="513">
        <v>3</v>
      </c>
      <c r="F20" s="762">
        <v>6</v>
      </c>
      <c r="G20" s="762">
        <v>37</v>
      </c>
      <c r="H20" s="1159">
        <v>16</v>
      </c>
      <c r="I20" s="762">
        <v>19</v>
      </c>
      <c r="J20" s="762">
        <v>19</v>
      </c>
      <c r="K20" s="762">
        <v>24</v>
      </c>
      <c r="L20" s="762">
        <v>25</v>
      </c>
      <c r="M20" s="762">
        <v>25</v>
      </c>
      <c r="N20" s="762">
        <v>17</v>
      </c>
      <c r="O20" s="762">
        <v>17</v>
      </c>
      <c r="P20" s="762">
        <v>17</v>
      </c>
      <c r="Q20" s="762">
        <v>19</v>
      </c>
      <c r="R20" s="762">
        <v>19</v>
      </c>
      <c r="S20" s="762">
        <v>19</v>
      </c>
      <c r="T20" s="762">
        <v>19</v>
      </c>
      <c r="U20" s="762">
        <v>19</v>
      </c>
      <c r="V20" s="762">
        <v>19</v>
      </c>
      <c r="W20" s="762">
        <v>19</v>
      </c>
      <c r="X20" s="762">
        <v>19</v>
      </c>
      <c r="Y20" s="762">
        <v>7</v>
      </c>
      <c r="Z20" s="762">
        <v>3</v>
      </c>
      <c r="AA20" s="762">
        <v>6</v>
      </c>
      <c r="AB20" s="762">
        <v>34</v>
      </c>
      <c r="AC20" s="762">
        <v>8</v>
      </c>
      <c r="AD20" s="762">
        <v>8</v>
      </c>
      <c r="AE20" s="762">
        <v>10</v>
      </c>
    </row>
  </sheetData>
  <sheetProtection formatColumns="0" formatRows="0" autoFilter="0" sort="0" insertRows="0" insertColumns="1" deleteRows="0" deleteColumns="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 ref="E15:E16"/>
  </mergeCells>
  <dataValidations count="30">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Title="Ввод" prompt="Для выбора ИП необходимо два раза нажать левую кнопку мыши!" sqref="G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S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U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W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AB15">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32D00A-6E4E-21A4-86FB-98B2F483414B}" mc:Ignorable="x14ac xr xr2 xr3">
  <sheetPr>
    <tabColor theme="9" tint="-0.25"/>
  </sheetPr>
  <dimension ref="A1:BG319"/>
  <sheetViews>
    <sheetView showGridLines="0" workbookViewId="0">
      <pane xSplit="8" ySplit="12" topLeftCell="I238" activePane="bottomRight" state="frozen"/>
      <selection pane="bottomLeft" activeCell="A13" sqref="A13"/>
      <selection pane="topRight" activeCell="I1" sqref="I1"/>
      <selection pane="bottomRight" activeCell="AE260" sqref="AE260:AE26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14.00390625" customWidth="1"/>
    <col min="7" max="7" style="1639" width="3.00390625" customWidth="1"/>
    <col min="8" max="8" style="1639" width="7.00390625" customWidth="1"/>
    <col min="9" max="9" style="1639" width="42.421875" customWidth="1"/>
    <col min="10" max="10" style="1639" width="23.8515625" customWidth="1"/>
    <col min="11" max="11" style="1639" width="25.00390625" hidden="1" customWidth="1"/>
    <col min="12" max="12" style="1639" width="7.00390625" hidden="1" customWidth="1"/>
    <col min="13" max="13" style="1639" width="15.00390625" hidden="1" customWidth="1"/>
    <col min="14" max="14" style="1639" width="3.00390625" hidden="1" customWidth="1"/>
    <col min="15" max="15" style="1639" width="4.00390625" hidden="1" customWidth="1"/>
    <col min="16" max="16" style="1639" width="8.00390625" hidden="1" customWidth="1"/>
    <col min="17" max="17" style="1639" width="21.00390625" hidden="1" customWidth="1"/>
    <col min="18" max="18" style="1639" width="14.00390625" hidden="1" customWidth="1"/>
    <col min="19" max="20" style="1639" width="17.00390625" hidden="1" customWidth="1"/>
    <col min="21" max="21" style="1639" width="9.00390625" hidden="1" customWidth="1"/>
    <col min="22" max="22" style="1639" width="12.00390625" hidden="1" customWidth="1"/>
    <col min="23" max="23" style="1639" width="9.00390625" hidden="1" customWidth="1"/>
    <col min="24" max="24" style="1639" width="21.00390625" hidden="1" customWidth="1"/>
    <col min="25" max="25" style="1639" width="12.00390625" hidden="1" customWidth="1"/>
    <col min="26" max="26" style="1639" width="3.00390625" customWidth="1"/>
    <col min="27" max="27" style="1639" width="6.00390625" customWidth="1"/>
    <col min="28" max="28" style="1639" width="41.7109375" customWidth="1"/>
    <col min="29" max="29" style="1639" width="15.00390625" customWidth="1"/>
    <col min="30" max="30" style="1639" width="39.140625" customWidth="1"/>
    <col min="31" max="31" style="1639" width="15.7109375" customWidth="1"/>
    <col min="32" max="34" style="1639" width="16.00390625" customWidth="1"/>
    <col min="35" max="37" style="1639" width="16.7109375" customWidth="1"/>
    <col min="38" max="58" style="1639" width="8.00390625" customWidth="1"/>
    <col min="59" max="59" style="1639" width="9.140625" hidden="1"/>
  </cols>
  <sheetData>
    <row s="1370" customFormat="1" customHeight="1" ht="10.5" hidden="1">
      <c r="A1" s="899"/>
      <c r="B1" s="899"/>
      <c r="C1" s="899"/>
      <c r="E1" s="541"/>
      <c r="H1" s="1164"/>
      <c r="L1" s="1132"/>
      <c r="M1" s="1132"/>
      <c r="AD1" s="1132"/>
      <c r="AH1" s="1151"/>
      <c r="AI1" s="1144"/>
      <c r="BG1" s="421" t="s">
        <v>14</v>
      </c>
    </row>
    <row customHeight="1" ht="10.5" hidden="1">
      <c r="BG2" s="762">
        <v>0</v>
      </c>
    </row>
    <row s="1636" customFormat="1" customHeight="1" ht="10.5" hidden="1">
      <c r="A3" s="899"/>
      <c r="B3" s="899"/>
      <c r="C3" s="899"/>
      <c r="D3" s="421"/>
      <c r="E3" s="366"/>
      <c r="H3" s="1160"/>
      <c r="L3" s="1130"/>
      <c r="M3" s="1130"/>
      <c r="AD3" s="1130"/>
      <c r="AH3" s="1149"/>
      <c r="AI3" s="1142"/>
      <c r="BG3" s="763">
        <v>0</v>
      </c>
    </row>
    <row customHeight="1" ht="3">
      <c r="BG4" s="762">
        <v>3</v>
      </c>
    </row>
    <row customHeight="1" ht="27.299999999999997">
      <c r="F5" s="22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2"/>
      <c r="H5" s="2252"/>
      <c r="I5" s="2252"/>
      <c r="J5" s="2252"/>
      <c r="K5" s="2252"/>
      <c r="L5" s="1139"/>
      <c r="M5" s="1139"/>
      <c r="AG5" s="910"/>
      <c r="AH5" s="1152"/>
      <c r="BG5" s="762">
        <v>26</v>
      </c>
    </row>
    <row customHeight="1" ht="10.5">
      <c r="F6" s="2180" t="str">
        <f>IF(org=0,"Не определено",org)</f>
        <v>АО "Теплоэнерго"</v>
      </c>
      <c r="G6" s="2180"/>
      <c r="H6" s="2180"/>
      <c r="I6" s="2180"/>
      <c r="J6" s="2180"/>
      <c r="K6" s="2180"/>
      <c r="L6" s="1140"/>
      <c r="M6" s="1140"/>
      <c r="BG6" s="762">
        <v>10</v>
      </c>
    </row>
    <row customHeight="1" ht="11.549999999999999">
      <c r="E7" s="912"/>
      <c r="F7" s="923"/>
      <c r="G7" s="923"/>
      <c r="H7" s="1188"/>
      <c r="I7" s="923"/>
      <c r="J7" s="923"/>
      <c r="K7" s="925"/>
      <c r="L7" s="1137"/>
      <c r="M7" s="1137"/>
      <c r="N7" s="923"/>
      <c r="O7" s="923"/>
      <c r="P7" s="923"/>
      <c r="Q7" s="925"/>
      <c r="R7" s="923"/>
      <c r="S7" s="923"/>
      <c r="T7" s="923"/>
      <c r="U7" s="923"/>
      <c r="V7" s="923"/>
      <c r="W7" s="923"/>
      <c r="X7" s="923"/>
      <c r="Y7" s="923"/>
      <c r="Z7" s="923"/>
      <c r="AA7" s="923"/>
      <c r="AB7" s="923"/>
      <c r="AC7" s="924"/>
      <c r="AD7" s="1136"/>
      <c r="AE7" s="924"/>
      <c r="AF7" s="923"/>
      <c r="AG7" s="923"/>
      <c r="AH7" s="1154"/>
      <c r="AI7" s="1147"/>
      <c r="AJ7" s="923"/>
      <c r="AK7" s="923"/>
      <c r="AL7" s="914"/>
      <c r="AM7" s="914"/>
      <c r="AN7" s="914"/>
      <c r="AO7" s="911"/>
      <c r="AP7" s="911"/>
      <c r="AQ7" s="911"/>
      <c r="AR7" s="911"/>
      <c r="AS7" s="911"/>
      <c r="AT7" s="911"/>
      <c r="AU7" s="911"/>
      <c r="AV7" s="911"/>
      <c r="AW7" s="911"/>
      <c r="AX7" s="911"/>
      <c r="AY7" s="911"/>
      <c r="AZ7" s="911"/>
      <c r="BA7" s="911"/>
      <c r="BB7" s="911"/>
      <c r="BC7" s="911"/>
      <c r="BD7" s="911"/>
      <c r="BE7" s="911"/>
      <c r="BF7" s="911"/>
      <c r="BG7" s="762">
        <v>11</v>
      </c>
    </row>
    <row customHeight="1" ht="10.5">
      <c r="E8" s="912"/>
      <c r="F8" s="2419" t="s">
        <v>318</v>
      </c>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1"/>
      <c r="AL8" s="913"/>
      <c r="AM8" s="911"/>
      <c r="AN8" s="911"/>
      <c r="AO8" s="911"/>
      <c r="AP8" s="911"/>
      <c r="AQ8" s="911"/>
      <c r="AR8" s="911"/>
      <c r="AS8" s="911"/>
      <c r="AT8" s="911"/>
      <c r="AU8" s="911"/>
      <c r="AV8" s="911"/>
      <c r="AW8" s="911"/>
      <c r="AX8" s="911"/>
      <c r="AY8" s="911"/>
      <c r="AZ8" s="911"/>
      <c r="BA8" s="911"/>
      <c r="BB8" s="911"/>
      <c r="BC8" s="911"/>
      <c r="BD8" s="911"/>
      <c r="BE8" s="911"/>
      <c r="BF8" s="911"/>
      <c r="BG8" s="762">
        <v>10</v>
      </c>
    </row>
    <row customHeight="1" ht="24">
      <c r="A9" s="909"/>
      <c r="B9" s="909"/>
      <c r="C9" s="909"/>
      <c r="E9" s="912"/>
      <c r="F9" s="2412" t="s">
        <v>1272</v>
      </c>
      <c r="G9" s="2413" t="s">
        <v>1273</v>
      </c>
      <c r="H9" s="2414"/>
      <c r="I9" s="2131" t="s">
        <v>1274</v>
      </c>
      <c r="J9" s="2131"/>
      <c r="K9" s="2131" t="s">
        <v>1275</v>
      </c>
      <c r="L9" s="2131"/>
      <c r="M9" s="2131"/>
      <c r="N9" s="2131"/>
      <c r="O9" s="2131"/>
      <c r="P9" s="2131"/>
      <c r="Q9" s="2131"/>
      <c r="R9" s="2131"/>
      <c r="S9" s="2131"/>
      <c r="T9" s="2131"/>
      <c r="U9" s="2131"/>
      <c r="V9" s="2131"/>
      <c r="W9" s="2131"/>
      <c r="X9" s="2131"/>
      <c r="Y9" s="2131"/>
      <c r="Z9" s="2196" t="s">
        <v>1276</v>
      </c>
      <c r="AA9" s="2197"/>
      <c r="AB9" s="2131" t="s">
        <v>1277</v>
      </c>
      <c r="AC9" s="2131"/>
      <c r="AD9" s="2131"/>
      <c r="AE9" s="2131"/>
      <c r="AF9" s="2179" t="s">
        <v>1278</v>
      </c>
      <c r="AG9" s="2131" t="s">
        <v>1279</v>
      </c>
      <c r="AH9" s="2131"/>
      <c r="AI9" s="2179" t="s">
        <v>1280</v>
      </c>
      <c r="AJ9" s="2131" t="s">
        <v>1281</v>
      </c>
      <c r="AK9" s="2131"/>
      <c r="AL9" s="1146"/>
      <c r="AM9" s="911"/>
      <c r="AN9" s="911"/>
      <c r="AO9" s="911"/>
      <c r="AP9" s="911"/>
      <c r="AQ9" s="911"/>
      <c r="AR9" s="911"/>
      <c r="AS9" s="911"/>
      <c r="AT9" s="911"/>
      <c r="AU9" s="911"/>
      <c r="AV9" s="911"/>
      <c r="AW9" s="911"/>
      <c r="AX9" s="911"/>
      <c r="AY9" s="911"/>
      <c r="AZ9" s="911"/>
      <c r="BA9" s="911"/>
      <c r="BB9" s="911"/>
      <c r="BC9" s="911"/>
      <c r="BD9" s="911"/>
      <c r="BE9" s="911"/>
      <c r="BF9" s="911"/>
      <c r="BG9" s="762">
        <v>23</v>
      </c>
    </row>
    <row customHeight="1" ht="25.2">
      <c r="A10" s="909"/>
      <c r="B10" s="909"/>
      <c r="C10" s="909"/>
      <c r="E10" s="916"/>
      <c r="F10" s="2412"/>
      <c r="G10" s="2415"/>
      <c r="H10" s="2416"/>
      <c r="I10" s="2131"/>
      <c r="J10" s="2131"/>
      <c r="K10" s="2131" t="s">
        <v>1282</v>
      </c>
      <c r="L10" s="2105" t="s">
        <v>1283</v>
      </c>
      <c r="M10" s="2107"/>
      <c r="N10" s="2131" t="s">
        <v>1284</v>
      </c>
      <c r="O10" s="2131"/>
      <c r="P10" s="2131"/>
      <c r="Q10" s="2131"/>
      <c r="R10" s="2131"/>
      <c r="S10" s="2131"/>
      <c r="T10" s="2131"/>
      <c r="U10" s="2131"/>
      <c r="V10" s="2131"/>
      <c r="W10" s="2131"/>
      <c r="X10" s="2131"/>
      <c r="Y10" s="2131"/>
      <c r="Z10" s="2198"/>
      <c r="AA10" s="2199"/>
      <c r="AB10" s="2131"/>
      <c r="AC10" s="2131"/>
      <c r="AD10" s="2131"/>
      <c r="AE10" s="2131"/>
      <c r="AF10" s="2203"/>
      <c r="AG10" s="2131"/>
      <c r="AH10" s="2131"/>
      <c r="AI10" s="2203"/>
      <c r="AJ10" s="2131"/>
      <c r="AK10" s="2131"/>
      <c r="AL10" s="1146"/>
      <c r="AM10" s="917"/>
      <c r="AN10" s="917"/>
      <c r="AO10" s="917"/>
      <c r="AP10" s="917"/>
      <c r="AQ10" s="917"/>
      <c r="AR10" s="917"/>
      <c r="AS10" s="917"/>
      <c r="AT10" s="917"/>
      <c r="AU10" s="917"/>
      <c r="AV10" s="917"/>
      <c r="AW10" s="917"/>
      <c r="AX10" s="917"/>
      <c r="AY10" s="917"/>
      <c r="AZ10" s="917"/>
      <c r="BA10" s="917"/>
      <c r="BB10" s="917"/>
      <c r="BC10" s="917"/>
      <c r="BD10" s="917"/>
      <c r="BE10" s="917"/>
      <c r="BF10" s="917"/>
      <c r="BG10" s="762">
        <v>24</v>
      </c>
    </row>
    <row s="1639" customFormat="1" customHeight="1" ht="25.2">
      <c r="A11" s="1133"/>
      <c r="B11" s="1133"/>
      <c r="C11" s="1133"/>
      <c r="D11" s="1132"/>
      <c r="E11" s="1134"/>
      <c r="F11" s="2412"/>
      <c r="G11" s="2415"/>
      <c r="H11" s="2416"/>
      <c r="I11" s="2131"/>
      <c r="J11" s="2131"/>
      <c r="K11" s="2131"/>
      <c r="L11" s="2179" t="s">
        <v>1285</v>
      </c>
      <c r="M11" s="2179" t="s">
        <v>1286</v>
      </c>
      <c r="N11" s="2131" t="s">
        <v>1287</v>
      </c>
      <c r="O11" s="2131"/>
      <c r="P11" s="2422" t="s">
        <v>1246</v>
      </c>
      <c r="Q11" s="2422" t="s">
        <v>1288</v>
      </c>
      <c r="R11" s="2422" t="s">
        <v>1289</v>
      </c>
      <c r="S11" s="2422" t="s">
        <v>1290</v>
      </c>
      <c r="T11" s="2422"/>
      <c r="U11" s="2422"/>
      <c r="V11" s="2422"/>
      <c r="W11" s="2422"/>
      <c r="X11" s="2422"/>
      <c r="Y11" s="2422"/>
      <c r="Z11" s="2198"/>
      <c r="AA11" s="2199"/>
      <c r="AB11" s="2131" t="s">
        <v>1291</v>
      </c>
      <c r="AC11" s="2131"/>
      <c r="AD11" s="2105" t="s">
        <v>1292</v>
      </c>
      <c r="AE11" s="2107"/>
      <c r="AF11" s="2203"/>
      <c r="AG11" s="2131"/>
      <c r="AH11" s="2131"/>
      <c r="AI11" s="2203"/>
      <c r="AJ11" s="2131"/>
      <c r="AK11" s="2131"/>
      <c r="AL11" s="1146"/>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29">
        <v>24</v>
      </c>
    </row>
    <row customHeight="1" ht="35.699999999999996">
      <c r="A12" s="909"/>
      <c r="B12" s="909"/>
      <c r="C12" s="909"/>
      <c r="E12" s="912"/>
      <c r="F12" s="2412"/>
      <c r="G12" s="2417"/>
      <c r="H12" s="2418"/>
      <c r="I12" s="1157" t="s">
        <v>89</v>
      </c>
      <c r="J12" s="1157" t="s">
        <v>1293</v>
      </c>
      <c r="K12" s="2131"/>
      <c r="L12" s="2236"/>
      <c r="M12" s="2236"/>
      <c r="N12" s="2131"/>
      <c r="O12" s="2131"/>
      <c r="P12" s="2422"/>
      <c r="Q12" s="2422"/>
      <c r="R12" s="2422"/>
      <c r="S12" s="1138" t="s">
        <v>86</v>
      </c>
      <c r="T12" s="1138" t="s">
        <v>87</v>
      </c>
      <c r="U12" s="1138" t="s">
        <v>85</v>
      </c>
      <c r="V12" s="1138" t="s">
        <v>1294</v>
      </c>
      <c r="W12" s="1138" t="s">
        <v>85</v>
      </c>
      <c r="X12" s="1138" t="s">
        <v>1295</v>
      </c>
      <c r="Y12" s="1138" t="s">
        <v>1296</v>
      </c>
      <c r="Z12" s="2204"/>
      <c r="AA12" s="2205"/>
      <c r="AB12" s="1145" t="s">
        <v>1297</v>
      </c>
      <c r="AC12" s="1145" t="s">
        <v>1298</v>
      </c>
      <c r="AD12" s="1145" t="s">
        <v>1297</v>
      </c>
      <c r="AE12" s="1145" t="s">
        <v>1298</v>
      </c>
      <c r="AF12" s="2236"/>
      <c r="AG12" s="1158" t="s">
        <v>1299</v>
      </c>
      <c r="AH12" s="1158" t="s">
        <v>1300</v>
      </c>
      <c r="AI12" s="2236"/>
      <c r="AJ12" s="1158" t="s">
        <v>1299</v>
      </c>
      <c r="AK12" s="1158" t="s">
        <v>1300</v>
      </c>
      <c r="AL12" s="1146"/>
      <c r="AM12" s="911"/>
      <c r="AN12" s="911"/>
      <c r="AO12" s="911"/>
      <c r="AP12" s="911"/>
      <c r="AQ12" s="911"/>
      <c r="AR12" s="911"/>
      <c r="AS12" s="911"/>
      <c r="AT12" s="911"/>
      <c r="AU12" s="911"/>
      <c r="AV12" s="911"/>
      <c r="AW12" s="911"/>
      <c r="AX12" s="911"/>
      <c r="AY12" s="911"/>
      <c r="AZ12" s="911"/>
      <c r="BA12" s="911"/>
      <c r="BB12" s="911"/>
      <c r="BC12" s="911"/>
      <c r="BD12" s="911"/>
      <c r="BE12" s="911"/>
      <c r="BF12" s="911"/>
      <c r="BG12" s="762">
        <v>34</v>
      </c>
    </row>
    <row customHeight="1" ht="9.166666666666666">
      <c r="E13" s="912"/>
      <c r="F13" s="1128">
        <v>0</v>
      </c>
      <c r="G13" s="1128"/>
      <c r="H13" s="1128"/>
      <c r="I13" s="1128"/>
      <c r="J13" s="1128"/>
      <c r="K13" s="1135"/>
      <c r="L13" s="1135"/>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53"/>
      <c r="AI13" s="1146"/>
      <c r="AJ13" s="1135"/>
      <c r="AK13" s="1135"/>
      <c r="AL13" s="913"/>
      <c r="AM13" s="911"/>
      <c r="AN13" s="911"/>
      <c r="AO13" s="911"/>
      <c r="AP13" s="911"/>
      <c r="AQ13" s="911"/>
      <c r="AR13" s="911"/>
      <c r="AS13" s="911"/>
      <c r="AT13" s="911"/>
      <c r="AU13" s="911"/>
      <c r="AV13" s="911"/>
      <c r="AW13" s="911"/>
      <c r="AX13" s="911"/>
      <c r="AY13" s="911"/>
      <c r="AZ13" s="911"/>
      <c r="BA13" s="911"/>
      <c r="BB13" s="911"/>
      <c r="BC13" s="911"/>
      <c r="BD13" s="911"/>
      <c r="BE13" s="911"/>
      <c r="BF13" s="911"/>
      <c r="BG13" s="762">
        <v>1</v>
      </c>
    </row>
    <row customHeight="1" ht="21">
      <c r="A14" s="1171" t="s">
        <v>1261</v>
      </c>
      <c r="B14" s="1170"/>
      <c r="C14" s="1170"/>
      <c r="D14" s="1164"/>
      <c r="E14" s="1174" t="s">
        <v>22</v>
      </c>
      <c r="F14" s="1126" t="str">
        <f>INDEX(IP_MAIN_LIST_NAME_IP,MATCH(A14,IP_MAIN_LIST_IP_ID,0))&amp;" ("&amp;INDEX(IP_MAIN_START_DATE,MATCH(A14,IP_MAIN_LIST_IP_ID,0))&amp;"-"&amp;INDEX(IP_MAIN_END_DATE,MATCH(A14,IP_MAIN_LIST_IP_ID,0))&amp;")"</f>
        <v>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 (01.01.2023-31.12.2047)</v>
      </c>
      <c r="G14" s="1127"/>
      <c r="H14" s="1127"/>
      <c r="I14" s="1189"/>
      <c r="J14" s="1189"/>
      <c r="K14" s="1190"/>
      <c r="L14" s="1190"/>
      <c r="M14" s="1190"/>
      <c r="N14" s="1191"/>
      <c r="O14" s="1191"/>
      <c r="P14" s="1191"/>
      <c r="Q14" s="1191"/>
      <c r="R14" s="1191"/>
      <c r="S14" s="1191"/>
      <c r="T14" s="1191"/>
      <c r="U14" s="1191"/>
      <c r="V14" s="1191"/>
      <c r="W14" s="1191"/>
      <c r="X14" s="1191"/>
      <c r="Y14" s="1191"/>
      <c r="Z14" s="1191"/>
      <c r="AA14" s="1191"/>
      <c r="AB14" s="1191"/>
      <c r="AC14" s="1191"/>
      <c r="AD14" s="1191"/>
      <c r="AE14" s="1192"/>
      <c r="AF14" s="1190"/>
      <c r="AG14" s="1190"/>
      <c r="AH14" s="1190"/>
      <c r="AI14" s="1190"/>
      <c r="AJ14" s="1190"/>
      <c r="AK14" s="1190"/>
      <c r="AL14" s="1992"/>
      <c r="AM14" s="1827"/>
      <c r="AN14" s="1827"/>
      <c r="AO14" s="1827"/>
      <c r="AP14" s="1827"/>
      <c r="AQ14" s="1827"/>
      <c r="AR14" s="1827"/>
      <c r="AS14" s="1827"/>
      <c r="AT14" s="1827"/>
      <c r="AU14" s="1827"/>
      <c r="AV14" s="1827"/>
      <c r="AW14" s="1827"/>
      <c r="AX14" s="1827"/>
      <c r="AY14" s="1827"/>
      <c r="AZ14" s="1827"/>
      <c r="BA14" s="1827"/>
      <c r="BB14" s="1827"/>
      <c r="BC14" s="1827"/>
      <c r="BD14" s="1827"/>
      <c r="BE14" s="1827"/>
      <c r="BF14" s="1827"/>
      <c r="BG14" s="1639"/>
    </row>
    <row customHeight="1" ht="0.75">
      <c r="A15" s="1170" t="s">
        <v>1261</v>
      </c>
      <c r="B15" s="1170"/>
      <c r="C15" s="1170"/>
      <c r="D15" s="1164"/>
      <c r="E15" s="1174"/>
      <c r="F15" s="2540">
        <v>2023</v>
      </c>
      <c r="G15" s="2519"/>
      <c r="H15" s="2544" t="s">
        <v>394</v>
      </c>
      <c r="I15" s="2545"/>
      <c r="J15" s="2546"/>
      <c r="K15" s="2546"/>
      <c r="L15" s="2538"/>
      <c r="M15" s="2272"/>
      <c r="N15" s="2040"/>
      <c r="O15" s="2039"/>
      <c r="P15" s="2040"/>
      <c r="Q15" s="2040"/>
      <c r="R15" s="2040"/>
      <c r="S15" s="2040"/>
      <c r="T15" s="2040"/>
      <c r="U15" s="2040"/>
      <c r="V15" s="2040"/>
      <c r="W15" s="2040"/>
      <c r="X15" s="2040"/>
      <c r="Y15" s="2040"/>
      <c r="Z15" s="2040"/>
      <c r="AA15" s="2040"/>
      <c r="AB15" s="2040"/>
      <c r="AC15" s="2040"/>
      <c r="AD15" s="2040"/>
      <c r="AE15" s="2040"/>
      <c r="AF15" s="2542"/>
      <c r="AG15" s="2538"/>
      <c r="AH15" s="2538"/>
      <c r="AI15" s="2542"/>
      <c r="AJ15" s="2538"/>
      <c r="AK15" s="2538"/>
      <c r="AL15" s="1992"/>
      <c r="AM15" s="1827"/>
      <c r="AN15" s="1827"/>
      <c r="AO15" s="1827"/>
      <c r="AP15" s="1827"/>
      <c r="AQ15" s="1827"/>
      <c r="AR15" s="1827"/>
      <c r="AS15" s="1827"/>
      <c r="AT15" s="1827"/>
      <c r="AU15" s="1827"/>
      <c r="AV15" s="1827"/>
      <c r="AW15" s="1827"/>
      <c r="AX15" s="1827"/>
      <c r="AY15" s="1827"/>
      <c r="AZ15" s="1827"/>
      <c r="BA15" s="1827"/>
      <c r="BB15" s="1827"/>
      <c r="BC15" s="1827"/>
      <c r="BD15" s="1827"/>
      <c r="BE15" s="1827"/>
      <c r="BF15" s="1827"/>
      <c r="BG15" s="1639"/>
    </row>
    <row customHeight="1" ht="0.75">
      <c r="A16" s="1170" t="s">
        <v>1261</v>
      </c>
      <c r="B16" s="1170"/>
      <c r="C16" s="1170"/>
      <c r="D16" s="1164"/>
      <c r="E16" s="1174"/>
      <c r="F16" s="2540"/>
      <c r="G16" s="2519"/>
      <c r="H16" s="2544"/>
      <c r="I16" s="2545"/>
      <c r="J16" s="2546"/>
      <c r="K16" s="2546"/>
      <c r="L16" s="2538"/>
      <c r="M16" s="2272"/>
      <c r="N16" s="2547"/>
      <c r="O16" s="2548"/>
      <c r="P16" s="2592"/>
      <c r="Q16" s="2543"/>
      <c r="R16" s="2543"/>
      <c r="S16" s="2543"/>
      <c r="T16" s="2543"/>
      <c r="U16" s="2543"/>
      <c r="V16" s="2543"/>
      <c r="W16" s="2543"/>
      <c r="X16" s="2543"/>
      <c r="Y16" s="2543"/>
      <c r="Z16" s="2041"/>
      <c r="AA16" s="2042"/>
      <c r="AB16" s="2042"/>
      <c r="AC16" s="2043"/>
      <c r="AD16" s="2043"/>
      <c r="AE16" s="2044"/>
      <c r="AF16" s="2542"/>
      <c r="AG16" s="2538"/>
      <c r="AH16" s="2538"/>
      <c r="AI16" s="2542"/>
      <c r="AJ16" s="2538"/>
      <c r="AK16" s="2538"/>
      <c r="AL16" s="1992"/>
      <c r="AM16" s="1827"/>
      <c r="AN16" s="1827"/>
      <c r="AO16" s="1827"/>
      <c r="AP16" s="1827"/>
      <c r="AQ16" s="1827"/>
      <c r="AR16" s="1827"/>
      <c r="AS16" s="1827"/>
      <c r="AT16" s="1827"/>
      <c r="AU16" s="1827"/>
      <c r="AV16" s="1827"/>
      <c r="AW16" s="1827"/>
      <c r="AX16" s="1827"/>
      <c r="AY16" s="1827"/>
      <c r="AZ16" s="1827"/>
      <c r="BA16" s="1827"/>
      <c r="BB16" s="1827"/>
      <c r="BC16" s="1827"/>
      <c r="BD16" s="1827"/>
      <c r="BE16" s="1827"/>
      <c r="BF16" s="1827"/>
      <c r="BG16" s="1639"/>
    </row>
    <row customHeight="1" ht="0.75">
      <c r="A17" s="1170" t="s">
        <v>1261</v>
      </c>
      <c r="B17" s="1170"/>
      <c r="C17" s="1170"/>
      <c r="D17" s="1164"/>
      <c r="E17" s="1174"/>
      <c r="F17" s="2540"/>
      <c r="G17" s="2519"/>
      <c r="H17" s="2544"/>
      <c r="I17" s="2545"/>
      <c r="J17" s="2546"/>
      <c r="K17" s="2546"/>
      <c r="L17" s="2538"/>
      <c r="M17" s="2272"/>
      <c r="N17" s="2547"/>
      <c r="O17" s="2548"/>
      <c r="P17" s="2593"/>
      <c r="Q17" s="2543"/>
      <c r="R17" s="2543"/>
      <c r="S17" s="2543"/>
      <c r="T17" s="2543"/>
      <c r="U17" s="2543"/>
      <c r="V17" s="2543"/>
      <c r="W17" s="2543"/>
      <c r="X17" s="2543"/>
      <c r="Y17" s="2543"/>
      <c r="Z17" s="2045"/>
      <c r="AA17" s="2046"/>
      <c r="AB17" s="2047"/>
      <c r="AC17" s="2048"/>
      <c r="AD17" s="2047"/>
      <c r="AE17" s="2048"/>
      <c r="AF17" s="2542"/>
      <c r="AG17" s="2538"/>
      <c r="AH17" s="2538"/>
      <c r="AI17" s="2542"/>
      <c r="AJ17" s="2538"/>
      <c r="AK17" s="2538"/>
      <c r="AL17" s="1992"/>
      <c r="AM17" s="1827"/>
      <c r="AN17" s="1827"/>
      <c r="AO17" s="1827"/>
      <c r="AP17" s="1827"/>
      <c r="AQ17" s="1827"/>
      <c r="AR17" s="1827"/>
      <c r="AS17" s="1827"/>
      <c r="AT17" s="1827"/>
      <c r="AU17" s="1827"/>
      <c r="AV17" s="1827"/>
      <c r="AW17" s="1827"/>
      <c r="AX17" s="1827"/>
      <c r="AY17" s="1827"/>
      <c r="AZ17" s="1827"/>
      <c r="BA17" s="1827"/>
      <c r="BB17" s="1827"/>
      <c r="BC17" s="1827"/>
      <c r="BD17" s="1827"/>
      <c r="BE17" s="1827"/>
      <c r="BF17" s="1827"/>
      <c r="BG17" s="1639"/>
    </row>
    <row customHeight="1" ht="0.75">
      <c r="A18" s="1170" t="s">
        <v>1261</v>
      </c>
      <c r="B18" s="1170"/>
      <c r="C18" s="1170"/>
      <c r="D18" s="1164"/>
      <c r="E18" s="1174"/>
      <c r="F18" s="2540"/>
      <c r="G18" s="2519"/>
      <c r="H18" s="2544"/>
      <c r="I18" s="2545"/>
      <c r="J18" s="2546"/>
      <c r="K18" s="2546"/>
      <c r="L18" s="2538"/>
      <c r="M18" s="2272"/>
      <c r="N18" s="2547"/>
      <c r="O18" s="2548"/>
      <c r="P18" s="2594"/>
      <c r="Q18" s="2543"/>
      <c r="R18" s="2543"/>
      <c r="S18" s="2543"/>
      <c r="T18" s="2543"/>
      <c r="U18" s="2543"/>
      <c r="V18" s="2543"/>
      <c r="W18" s="2543"/>
      <c r="X18" s="2543"/>
      <c r="Y18" s="2543"/>
      <c r="Z18" s="2041"/>
      <c r="AA18" s="2042"/>
      <c r="AB18" s="2049"/>
      <c r="AC18" s="2043"/>
      <c r="AD18" s="2043"/>
      <c r="AE18" s="2050"/>
      <c r="AF18" s="2542"/>
      <c r="AG18" s="2538"/>
      <c r="AH18" s="2538"/>
      <c r="AI18" s="2542"/>
      <c r="AJ18" s="2538"/>
      <c r="AK18" s="2538"/>
      <c r="AL18" s="1992"/>
      <c r="AM18" s="1827"/>
      <c r="AN18" s="1827"/>
      <c r="AO18" s="1827"/>
      <c r="AP18" s="1827"/>
      <c r="AQ18" s="1827"/>
      <c r="AR18" s="1827"/>
      <c r="AS18" s="1827"/>
      <c r="AT18" s="1827"/>
      <c r="AU18" s="1827"/>
      <c r="AV18" s="1827"/>
      <c r="AW18" s="1827"/>
      <c r="AX18" s="1827"/>
      <c r="AY18" s="1827"/>
      <c r="AZ18" s="1827"/>
      <c r="BA18" s="1827"/>
      <c r="BB18" s="1827"/>
      <c r="BC18" s="1827"/>
      <c r="BD18" s="1827"/>
      <c r="BE18" s="1827"/>
      <c r="BF18" s="1827"/>
      <c r="BG18" s="1639"/>
    </row>
    <row customHeight="1" ht="0.75">
      <c r="A19" s="1170" t="s">
        <v>1261</v>
      </c>
      <c r="B19" s="1170"/>
      <c r="C19" s="1170"/>
      <c r="D19" s="1164"/>
      <c r="E19" s="1174"/>
      <c r="F19" s="2540"/>
      <c r="G19" s="2519"/>
      <c r="H19" s="2544"/>
      <c r="I19" s="2545"/>
      <c r="J19" s="2546"/>
      <c r="K19" s="2546"/>
      <c r="L19" s="2538"/>
      <c r="M19" s="2272"/>
      <c r="N19" s="2042"/>
      <c r="O19" s="2042"/>
      <c r="P19" s="2049"/>
      <c r="Q19" s="2042"/>
      <c r="R19" s="2042"/>
      <c r="S19" s="2042"/>
      <c r="T19" s="2042"/>
      <c r="U19" s="2042"/>
      <c r="V19" s="2042"/>
      <c r="W19" s="2042"/>
      <c r="X19" s="2042"/>
      <c r="Y19" s="2042"/>
      <c r="Z19" s="2042"/>
      <c r="AA19" s="2042"/>
      <c r="AB19" s="2042"/>
      <c r="AC19" s="2042"/>
      <c r="AD19" s="2042"/>
      <c r="AE19" s="2051"/>
      <c r="AF19" s="2542"/>
      <c r="AG19" s="2538"/>
      <c r="AH19" s="2538"/>
      <c r="AI19" s="2542"/>
      <c r="AJ19" s="2538"/>
      <c r="AK19" s="2538"/>
      <c r="AL19" s="1992"/>
      <c r="AM19" s="1827"/>
      <c r="AN19" s="1827"/>
      <c r="AO19" s="1827"/>
      <c r="AP19" s="1827"/>
      <c r="AQ19" s="1827"/>
      <c r="AR19" s="1827"/>
      <c r="AS19" s="1827"/>
      <c r="AT19" s="1827"/>
      <c r="AU19" s="1827"/>
      <c r="AV19" s="1827"/>
      <c r="AW19" s="1827"/>
      <c r="AX19" s="1827"/>
      <c r="AY19" s="1827"/>
      <c r="AZ19" s="1827"/>
      <c r="BA19" s="1827"/>
      <c r="BB19" s="1827"/>
      <c r="BC19" s="1827"/>
      <c r="BD19" s="1827"/>
      <c r="BE19" s="1827"/>
      <c r="BF19" s="1827"/>
      <c r="BG19" s="1639"/>
    </row>
    <row customHeight="1" ht="15">
      <c r="A20" s="1170" t="s">
        <v>1261</v>
      </c>
      <c r="B20" s="1170" t="s">
        <v>1301</v>
      </c>
      <c r="C20" s="1170"/>
      <c r="D20" s="1164"/>
      <c r="E20" s="1174"/>
      <c r="F20" s="1833"/>
      <c r="G20" s="687" t="s">
        <v>104</v>
      </c>
      <c r="H20" s="2519" t="s">
        <v>119</v>
      </c>
      <c r="I20" s="2520" t="s">
        <v>1302</v>
      </c>
      <c r="J20" s="2489" t="s">
        <v>1303</v>
      </c>
      <c r="K20" s="2521"/>
      <c r="L20" s="2111" t="s">
        <v>19</v>
      </c>
      <c r="M20" s="2112"/>
      <c r="N20" s="1990"/>
      <c r="O20" s="1181" t="s">
        <v>394</v>
      </c>
      <c r="P20" s="1182"/>
      <c r="Q20" s="1182"/>
      <c r="R20" s="1182"/>
      <c r="S20" s="1182"/>
      <c r="T20" s="1182"/>
      <c r="U20" s="1182"/>
      <c r="V20" s="1182"/>
      <c r="W20" s="1182"/>
      <c r="X20" s="1182"/>
      <c r="Y20" s="1182"/>
      <c r="Z20" s="1182"/>
      <c r="AA20" s="1182"/>
      <c r="AB20" s="1182"/>
      <c r="AC20" s="1182"/>
      <c r="AD20" s="1182"/>
      <c r="AE20" s="1182"/>
      <c r="AF20" s="2510">
        <v>2</v>
      </c>
      <c r="AG20" s="2511" t="s">
        <v>1304</v>
      </c>
      <c r="AH20" s="2511" t="s">
        <v>1305</v>
      </c>
      <c r="AI20" s="2510">
        <v>0</v>
      </c>
      <c r="AJ20" s="2511" t="s">
        <v>1304</v>
      </c>
      <c r="AK20" s="2511" t="s">
        <v>1305</v>
      </c>
      <c r="AL20" s="1992"/>
      <c r="AM20" s="1827"/>
      <c r="AN20" s="1827"/>
      <c r="AO20" s="1827"/>
      <c r="AP20" s="1827"/>
      <c r="AQ20" s="1827"/>
      <c r="AR20" s="1827"/>
      <c r="AS20" s="1827"/>
      <c r="AT20" s="1827"/>
      <c r="AU20" s="1827"/>
      <c r="AV20" s="1827"/>
      <c r="AW20" s="1827"/>
      <c r="AX20" s="1827"/>
      <c r="AY20" s="1827"/>
      <c r="AZ20" s="1827"/>
      <c r="BA20" s="1827"/>
      <c r="BB20" s="1827"/>
      <c r="BC20" s="1827"/>
      <c r="BD20" s="1827"/>
      <c r="BE20" s="1827"/>
      <c r="BF20" s="1827"/>
      <c r="BG20" s="1639"/>
    </row>
    <row customHeight="1" ht="11.25">
      <c r="A21" s="1170" t="s">
        <v>1261</v>
      </c>
      <c r="B21" s="1170"/>
      <c r="C21" s="1170"/>
      <c r="D21" s="1164"/>
      <c r="E21" s="1174"/>
      <c r="F21" s="1833"/>
      <c r="G21" s="1834"/>
      <c r="H21" s="2519" t="s">
        <v>394</v>
      </c>
      <c r="I21" s="2520"/>
      <c r="J21" s="2489"/>
      <c r="K21" s="2521"/>
      <c r="L21" s="2111"/>
      <c r="M21" s="2112"/>
      <c r="N21" s="2512"/>
      <c r="O21" s="2513">
        <v>1</v>
      </c>
      <c r="P21" s="2514" t="s">
        <v>19</v>
      </c>
      <c r="Q21" s="2517" t="s">
        <v>22</v>
      </c>
      <c r="R21" s="2517" t="s">
        <v>22</v>
      </c>
      <c r="S21" s="2517" t="s">
        <v>22</v>
      </c>
      <c r="T21" s="2517" t="s">
        <v>22</v>
      </c>
      <c r="U21" s="2517" t="s">
        <v>22</v>
      </c>
      <c r="V21" s="2517" t="s">
        <v>22</v>
      </c>
      <c r="W21" s="2517" t="s">
        <v>22</v>
      </c>
      <c r="X21" s="2517" t="s">
        <v>22</v>
      </c>
      <c r="Y21" s="2517"/>
      <c r="Z21" s="1179"/>
      <c r="AA21" s="1180"/>
      <c r="AB21" s="1180"/>
      <c r="AC21" s="1184"/>
      <c r="AD21" s="1184"/>
      <c r="AE21" s="1185"/>
      <c r="AF21" s="2510"/>
      <c r="AG21" s="2511"/>
      <c r="AH21" s="2511"/>
      <c r="AI21" s="2510"/>
      <c r="AJ21" s="2511"/>
      <c r="AK21" s="2511"/>
      <c r="AL21" s="1992"/>
      <c r="AM21" s="1827"/>
      <c r="AN21" s="1827"/>
      <c r="AO21" s="1827"/>
      <c r="AP21" s="1827"/>
      <c r="AQ21" s="1827"/>
      <c r="AR21" s="1827"/>
      <c r="AS21" s="1827"/>
      <c r="AT21" s="1827"/>
      <c r="AU21" s="1827"/>
      <c r="AV21" s="1827"/>
      <c r="AW21" s="1827"/>
      <c r="AX21" s="1827"/>
      <c r="AY21" s="1827"/>
      <c r="AZ21" s="1827"/>
      <c r="BA21" s="1827"/>
      <c r="BB21" s="1827"/>
      <c r="BC21" s="1827"/>
      <c r="BD21" s="1827"/>
      <c r="BE21" s="1827"/>
      <c r="BF21" s="1827"/>
      <c r="BG21" s="1639"/>
    </row>
    <row customHeight="1" ht="22.5">
      <c r="A22" s="1170" t="s">
        <v>1261</v>
      </c>
      <c r="B22" s="1170"/>
      <c r="C22" s="1170"/>
      <c r="D22" s="1164"/>
      <c r="E22" s="1174"/>
      <c r="F22" s="1833"/>
      <c r="G22" s="1834"/>
      <c r="H22" s="2519" t="s">
        <v>394</v>
      </c>
      <c r="I22" s="2520"/>
      <c r="J22" s="2489"/>
      <c r="K22" s="2521"/>
      <c r="L22" s="2111"/>
      <c r="M22" s="2112"/>
      <c r="N22" s="2512"/>
      <c r="O22" s="2513"/>
      <c r="P22" s="2515"/>
      <c r="Q22" s="2517"/>
      <c r="R22" s="2517"/>
      <c r="S22" s="2518"/>
      <c r="T22" s="2517"/>
      <c r="U22" s="2517"/>
      <c r="V22" s="2517"/>
      <c r="W22" s="2517"/>
      <c r="X22" s="2517"/>
      <c r="Y22" s="2517"/>
      <c r="Z22" s="1832"/>
      <c r="AA22" s="1798">
        <v>1</v>
      </c>
      <c r="AB22" s="1183" t="s">
        <v>1306</v>
      </c>
      <c r="AC22" s="1173">
        <v>131166.78</v>
      </c>
      <c r="AD22" s="1183" t="str">
        <f>AB22</f>
        <v>  За счет платы за технологическое присоединение</v>
      </c>
      <c r="AE22" s="1173">
        <v>104040.029</v>
      </c>
      <c r="AF22" s="2510"/>
      <c r="AG22" s="2511"/>
      <c r="AH22" s="2511"/>
      <c r="AI22" s="2510"/>
      <c r="AJ22" s="2511"/>
      <c r="AK22" s="2511"/>
      <c r="AL22" s="1992"/>
      <c r="AM22" s="1827"/>
      <c r="AN22" s="1827"/>
      <c r="AO22" s="1827"/>
      <c r="AP22" s="1827"/>
      <c r="AQ22" s="1827"/>
      <c r="AR22" s="1827"/>
      <c r="AS22" s="1827"/>
      <c r="AT22" s="1827"/>
      <c r="AU22" s="1827"/>
      <c r="AV22" s="1827"/>
      <c r="AW22" s="1827"/>
      <c r="AX22" s="1827"/>
      <c r="AY22" s="1827"/>
      <c r="AZ22" s="1827"/>
      <c r="BA22" s="1827"/>
      <c r="BB22" s="1827"/>
      <c r="BC22" s="1827"/>
      <c r="BD22" s="1827"/>
      <c r="BE22" s="1827"/>
      <c r="BF22" s="1827"/>
      <c r="BG22" s="1639"/>
    </row>
    <row customHeight="1" ht="11.25">
      <c r="A23" s="1170" t="s">
        <v>1261</v>
      </c>
      <c r="B23" s="1170"/>
      <c r="C23" s="1170"/>
      <c r="D23" s="1164"/>
      <c r="E23" s="1174"/>
      <c r="F23" s="1833"/>
      <c r="G23" s="1834"/>
      <c r="H23" s="2519" t="s">
        <v>394</v>
      </c>
      <c r="I23" s="2520"/>
      <c r="J23" s="2489"/>
      <c r="K23" s="2521"/>
      <c r="L23" s="2111"/>
      <c r="M23" s="2112"/>
      <c r="N23" s="2512"/>
      <c r="O23" s="2513"/>
      <c r="P23" s="2516"/>
      <c r="Q23" s="2517"/>
      <c r="R23" s="2517"/>
      <c r="S23" s="2518"/>
      <c r="T23" s="2517"/>
      <c r="U23" s="2517"/>
      <c r="V23" s="2517"/>
      <c r="W23" s="2517"/>
      <c r="X23" s="2517"/>
      <c r="Y23" s="2517"/>
      <c r="Z23" s="1179"/>
      <c r="AA23" s="1180"/>
      <c r="AB23" s="1245" t="s">
        <v>1307</v>
      </c>
      <c r="AC23" s="1184"/>
      <c r="AD23" s="1184"/>
      <c r="AE23" s="1186"/>
      <c r="AF23" s="2510"/>
      <c r="AG23" s="2511"/>
      <c r="AH23" s="2511"/>
      <c r="AI23" s="2510"/>
      <c r="AJ23" s="2511"/>
      <c r="AK23" s="2511"/>
      <c r="AL23" s="1992"/>
      <c r="AM23" s="1827"/>
      <c r="AN23" s="1827"/>
      <c r="AO23" s="1827"/>
      <c r="AP23" s="1827"/>
      <c r="AQ23" s="1827"/>
      <c r="AR23" s="1827"/>
      <c r="AS23" s="1827"/>
      <c r="AT23" s="1827"/>
      <c r="AU23" s="1827"/>
      <c r="AV23" s="1827"/>
      <c r="AW23" s="1827"/>
      <c r="AX23" s="1827"/>
      <c r="AY23" s="1827"/>
      <c r="AZ23" s="1827"/>
      <c r="BA23" s="1827"/>
      <c r="BB23" s="1827"/>
      <c r="BC23" s="1827"/>
      <c r="BD23" s="1827"/>
      <c r="BE23" s="1827"/>
      <c r="BF23" s="1827"/>
      <c r="BG23" s="1639"/>
    </row>
    <row customHeight="1" ht="21.75">
      <c r="A24" s="1170" t="s">
        <v>1261</v>
      </c>
      <c r="B24" s="1170"/>
      <c r="C24" s="1170"/>
      <c r="D24" s="1164"/>
      <c r="E24" s="1174"/>
      <c r="F24" s="1833"/>
      <c r="G24" s="1834"/>
      <c r="H24" s="2519" t="s">
        <v>394</v>
      </c>
      <c r="I24" s="2520"/>
      <c r="J24" s="2489"/>
      <c r="K24" s="2521"/>
      <c r="L24" s="2111"/>
      <c r="M24" s="2112"/>
      <c r="N24" s="1179"/>
      <c r="O24" s="1180"/>
      <c r="P24" s="1172" t="s">
        <v>1308</v>
      </c>
      <c r="Q24" s="1180"/>
      <c r="R24" s="1180"/>
      <c r="S24" s="1180"/>
      <c r="T24" s="1180"/>
      <c r="U24" s="1180"/>
      <c r="V24" s="1180"/>
      <c r="W24" s="1180"/>
      <c r="X24" s="1180"/>
      <c r="Y24" s="1180"/>
      <c r="Z24" s="1180"/>
      <c r="AA24" s="1180"/>
      <c r="AB24" s="1180"/>
      <c r="AC24" s="1180"/>
      <c r="AD24" s="1180"/>
      <c r="AE24" s="1187"/>
      <c r="AF24" s="2510"/>
      <c r="AG24" s="2511"/>
      <c r="AH24" s="2511"/>
      <c r="AI24" s="2510"/>
      <c r="AJ24" s="2511"/>
      <c r="AK24" s="2511"/>
      <c r="AL24" s="1992"/>
      <c r="AM24" s="1827"/>
      <c r="AN24" s="1827"/>
      <c r="AO24" s="1827"/>
      <c r="AP24" s="1827"/>
      <c r="AQ24" s="1827"/>
      <c r="AR24" s="1827"/>
      <c r="AS24" s="1827"/>
      <c r="AT24" s="1827"/>
      <c r="AU24" s="1827"/>
      <c r="AV24" s="1827"/>
      <c r="AW24" s="1827"/>
      <c r="AX24" s="1827"/>
      <c r="AY24" s="1827"/>
      <c r="AZ24" s="1827"/>
      <c r="BA24" s="1827"/>
      <c r="BB24" s="1827"/>
      <c r="BC24" s="1827"/>
      <c r="BD24" s="1827"/>
      <c r="BE24" s="1827"/>
      <c r="BF24" s="1827"/>
      <c r="BG24" s="1639"/>
    </row>
    <row customHeight="1" ht="11.25">
      <c r="A25" s="1170" t="s">
        <v>1261</v>
      </c>
      <c r="B25" s="1170" t="s">
        <v>1301</v>
      </c>
      <c r="C25" s="1170"/>
      <c r="D25" s="1164"/>
      <c r="E25" s="1174"/>
      <c r="F25" s="1833"/>
      <c r="G25" s="687" t="s">
        <v>104</v>
      </c>
      <c r="H25" s="2519" t="s">
        <v>103</v>
      </c>
      <c r="I25" s="2520" t="s">
        <v>1302</v>
      </c>
      <c r="J25" s="2489" t="s">
        <v>1309</v>
      </c>
      <c r="K25" s="2521"/>
      <c r="L25" s="2111" t="s">
        <v>19</v>
      </c>
      <c r="M25" s="2112"/>
      <c r="N25" s="1990"/>
      <c r="O25" s="1181" t="s">
        <v>394</v>
      </c>
      <c r="P25" s="1182"/>
      <c r="Q25" s="1182"/>
      <c r="R25" s="1182"/>
      <c r="S25" s="1182"/>
      <c r="T25" s="1182"/>
      <c r="U25" s="1182"/>
      <c r="V25" s="1182"/>
      <c r="W25" s="1182"/>
      <c r="X25" s="1182"/>
      <c r="Y25" s="1182"/>
      <c r="Z25" s="1182"/>
      <c r="AA25" s="1182"/>
      <c r="AB25" s="1182"/>
      <c r="AC25" s="1182"/>
      <c r="AD25" s="1182"/>
      <c r="AE25" s="1182"/>
      <c r="AF25" s="2510">
        <v>2</v>
      </c>
      <c r="AG25" s="2511" t="s">
        <v>1304</v>
      </c>
      <c r="AH25" s="2511" t="s">
        <v>1305</v>
      </c>
      <c r="AI25" s="2510">
        <v>0</v>
      </c>
      <c r="AJ25" s="2511" t="s">
        <v>1304</v>
      </c>
      <c r="AK25" s="2511" t="s">
        <v>1305</v>
      </c>
      <c r="AL25" s="1992"/>
      <c r="AM25" s="1827"/>
      <c r="AN25" s="1827"/>
      <c r="AO25" s="1827"/>
      <c r="AP25" s="1827"/>
      <c r="AQ25" s="1827"/>
      <c r="AR25" s="1827"/>
      <c r="AS25" s="1827"/>
      <c r="AT25" s="1827"/>
      <c r="AU25" s="1827"/>
      <c r="AV25" s="1827"/>
      <c r="AW25" s="1827"/>
      <c r="AX25" s="1827"/>
      <c r="AY25" s="1827"/>
      <c r="AZ25" s="1827"/>
      <c r="BA25" s="1827"/>
      <c r="BB25" s="1827"/>
      <c r="BC25" s="1827"/>
      <c r="BD25" s="1827"/>
      <c r="BE25" s="1827"/>
      <c r="BF25" s="1827"/>
      <c r="BG25" s="1639"/>
    </row>
    <row customHeight="1" ht="11.25">
      <c r="A26" s="1170" t="s">
        <v>1261</v>
      </c>
      <c r="B26" s="1170"/>
      <c r="C26" s="1170"/>
      <c r="D26" s="1164"/>
      <c r="E26" s="1174"/>
      <c r="F26" s="1833"/>
      <c r="G26" s="1834"/>
      <c r="H26" s="2519" t="s">
        <v>119</v>
      </c>
      <c r="I26" s="2520"/>
      <c r="J26" s="2489"/>
      <c r="K26" s="2521"/>
      <c r="L26" s="2111"/>
      <c r="M26" s="2112"/>
      <c r="N26" s="2512"/>
      <c r="O26" s="2513">
        <v>1</v>
      </c>
      <c r="P26" s="2514" t="s">
        <v>19</v>
      </c>
      <c r="Q26" s="2517" t="s">
        <v>22</v>
      </c>
      <c r="R26" s="2517" t="s">
        <v>22</v>
      </c>
      <c r="S26" s="2517" t="s">
        <v>22</v>
      </c>
      <c r="T26" s="2517" t="s">
        <v>22</v>
      </c>
      <c r="U26" s="2517" t="s">
        <v>22</v>
      </c>
      <c r="V26" s="2517" t="s">
        <v>22</v>
      </c>
      <c r="W26" s="2517" t="s">
        <v>22</v>
      </c>
      <c r="X26" s="2517" t="s">
        <v>22</v>
      </c>
      <c r="Y26" s="2517"/>
      <c r="Z26" s="1179"/>
      <c r="AA26" s="1180"/>
      <c r="AB26" s="1180"/>
      <c r="AC26" s="1184"/>
      <c r="AD26" s="1184"/>
      <c r="AE26" s="1185"/>
      <c r="AF26" s="2510"/>
      <c r="AG26" s="2511"/>
      <c r="AH26" s="2511"/>
      <c r="AI26" s="2510"/>
      <c r="AJ26" s="2511"/>
      <c r="AK26" s="2511"/>
      <c r="AL26" s="1992"/>
      <c r="AM26" s="1827"/>
      <c r="AN26" s="1827"/>
      <c r="AO26" s="1827"/>
      <c r="AP26" s="1827"/>
      <c r="AQ26" s="1827"/>
      <c r="AR26" s="1827"/>
      <c r="AS26" s="1827"/>
      <c r="AT26" s="1827"/>
      <c r="AU26" s="1827"/>
      <c r="AV26" s="1827"/>
      <c r="AW26" s="1827"/>
      <c r="AX26" s="1827"/>
      <c r="AY26" s="1827"/>
      <c r="AZ26" s="1827"/>
      <c r="BA26" s="1827"/>
      <c r="BB26" s="1827"/>
      <c r="BC26" s="1827"/>
      <c r="BD26" s="1827"/>
      <c r="BE26" s="1827"/>
      <c r="BF26" s="1827"/>
      <c r="BG26" s="1639"/>
    </row>
    <row customHeight="1" ht="18">
      <c r="A27" s="1170" t="s">
        <v>1261</v>
      </c>
      <c r="B27" s="1170"/>
      <c r="C27" s="1170"/>
      <c r="D27" s="1164"/>
      <c r="E27" s="1174"/>
      <c r="F27" s="1833"/>
      <c r="G27" s="1834"/>
      <c r="H27" s="2519" t="s">
        <v>119</v>
      </c>
      <c r="I27" s="2520"/>
      <c r="J27" s="2489"/>
      <c r="K27" s="2521"/>
      <c r="L27" s="2111"/>
      <c r="M27" s="2112"/>
      <c r="N27" s="2512"/>
      <c r="O27" s="2513"/>
      <c r="P27" s="2515"/>
      <c r="Q27" s="2517"/>
      <c r="R27" s="2517"/>
      <c r="S27" s="2518"/>
      <c r="T27" s="2517"/>
      <c r="U27" s="2517"/>
      <c r="V27" s="2517"/>
      <c r="W27" s="2517"/>
      <c r="X27" s="2517"/>
      <c r="Y27" s="2517"/>
      <c r="Z27" s="1832"/>
      <c r="AA27" s="1798">
        <v>1</v>
      </c>
      <c r="AB27" s="1183" t="s">
        <v>1306</v>
      </c>
      <c r="AC27" s="1173">
        <v>8624.095</v>
      </c>
      <c r="AD27" s="1183" t="str">
        <f>AB27</f>
        <v>  За счет платы за технологическое присоединение</v>
      </c>
      <c r="AE27" s="1173">
        <v>1645.117</v>
      </c>
      <c r="AF27" s="2510"/>
      <c r="AG27" s="2511"/>
      <c r="AH27" s="2511"/>
      <c r="AI27" s="2510"/>
      <c r="AJ27" s="2511"/>
      <c r="AK27" s="2511"/>
      <c r="AL27" s="1992"/>
      <c r="AM27" s="1827"/>
      <c r="AN27" s="1827"/>
      <c r="AO27" s="1827"/>
      <c r="AP27" s="1827"/>
      <c r="AQ27" s="1827"/>
      <c r="AR27" s="1827"/>
      <c r="AS27" s="1827"/>
      <c r="AT27" s="1827"/>
      <c r="AU27" s="1827"/>
      <c r="AV27" s="1827"/>
      <c r="AW27" s="1827"/>
      <c r="AX27" s="1827"/>
      <c r="AY27" s="1827"/>
      <c r="AZ27" s="1827"/>
      <c r="BA27" s="1827"/>
      <c r="BB27" s="1827"/>
      <c r="BC27" s="1827"/>
      <c r="BD27" s="1827"/>
      <c r="BE27" s="1827"/>
      <c r="BF27" s="1827"/>
      <c r="BG27" s="1639"/>
    </row>
    <row customHeight="1" ht="21.75">
      <c r="A28" s="1170" t="s">
        <v>1261</v>
      </c>
      <c r="B28" s="1170"/>
      <c r="C28" s="1170"/>
      <c r="D28" s="1164"/>
      <c r="E28" s="1174"/>
      <c r="F28" s="1833"/>
      <c r="G28" s="1834"/>
      <c r="H28" s="2519" t="s">
        <v>119</v>
      </c>
      <c r="I28" s="2520"/>
      <c r="J28" s="2489"/>
      <c r="K28" s="2521"/>
      <c r="L28" s="2111"/>
      <c r="M28" s="2112"/>
      <c r="N28" s="2512"/>
      <c r="O28" s="2513"/>
      <c r="P28" s="2516"/>
      <c r="Q28" s="2517"/>
      <c r="R28" s="2517"/>
      <c r="S28" s="2518"/>
      <c r="T28" s="2517"/>
      <c r="U28" s="2517"/>
      <c r="V28" s="2517"/>
      <c r="W28" s="2517"/>
      <c r="X28" s="2517"/>
      <c r="Y28" s="2517"/>
      <c r="Z28" s="1179"/>
      <c r="AA28" s="1180"/>
      <c r="AB28" s="1245" t="s">
        <v>1307</v>
      </c>
      <c r="AC28" s="1184"/>
      <c r="AD28" s="1184"/>
      <c r="AE28" s="1186"/>
      <c r="AF28" s="2510"/>
      <c r="AG28" s="2511"/>
      <c r="AH28" s="2511"/>
      <c r="AI28" s="2510"/>
      <c r="AJ28" s="2511"/>
      <c r="AK28" s="2511"/>
      <c r="AL28" s="1992"/>
      <c r="AM28" s="1827"/>
      <c r="AN28" s="1827"/>
      <c r="AO28" s="1827"/>
      <c r="AP28" s="1827"/>
      <c r="AQ28" s="1827"/>
      <c r="AR28" s="1827"/>
      <c r="AS28" s="1827"/>
      <c r="AT28" s="1827"/>
      <c r="AU28" s="1827"/>
      <c r="AV28" s="1827"/>
      <c r="AW28" s="1827"/>
      <c r="AX28" s="1827"/>
      <c r="AY28" s="1827"/>
      <c r="AZ28" s="1827"/>
      <c r="BA28" s="1827"/>
      <c r="BB28" s="1827"/>
      <c r="BC28" s="1827"/>
      <c r="BD28" s="1827"/>
      <c r="BE28" s="1827"/>
      <c r="BF28" s="1827"/>
      <c r="BG28" s="1639"/>
    </row>
    <row customHeight="1" ht="18">
      <c r="A29" s="1170" t="s">
        <v>1261</v>
      </c>
      <c r="B29" s="1170"/>
      <c r="C29" s="1170"/>
      <c r="D29" s="1164"/>
      <c r="E29" s="1174"/>
      <c r="F29" s="1833"/>
      <c r="G29" s="1834"/>
      <c r="H29" s="2519" t="s">
        <v>119</v>
      </c>
      <c r="I29" s="2520"/>
      <c r="J29" s="2489"/>
      <c r="K29" s="2521"/>
      <c r="L29" s="2111"/>
      <c r="M29" s="2112"/>
      <c r="N29" s="1179"/>
      <c r="O29" s="1180"/>
      <c r="P29" s="1172" t="s">
        <v>1308</v>
      </c>
      <c r="Q29" s="1180"/>
      <c r="R29" s="1180"/>
      <c r="S29" s="1180"/>
      <c r="T29" s="1180"/>
      <c r="U29" s="1180"/>
      <c r="V29" s="1180"/>
      <c r="W29" s="1180"/>
      <c r="X29" s="1180"/>
      <c r="Y29" s="1180"/>
      <c r="Z29" s="1180"/>
      <c r="AA29" s="1180"/>
      <c r="AB29" s="1180"/>
      <c r="AC29" s="1180"/>
      <c r="AD29" s="1180"/>
      <c r="AE29" s="1187"/>
      <c r="AF29" s="2510"/>
      <c r="AG29" s="2511"/>
      <c r="AH29" s="2511"/>
      <c r="AI29" s="2510"/>
      <c r="AJ29" s="2511"/>
      <c r="AK29" s="2511"/>
      <c r="AL29" s="1992"/>
      <c r="AM29" s="1827"/>
      <c r="AN29" s="1827"/>
      <c r="AO29" s="1827"/>
      <c r="AP29" s="1827"/>
      <c r="AQ29" s="1827"/>
      <c r="AR29" s="1827"/>
      <c r="AS29" s="1827"/>
      <c r="AT29" s="1827"/>
      <c r="AU29" s="1827"/>
      <c r="AV29" s="1827"/>
      <c r="AW29" s="1827"/>
      <c r="AX29" s="1827"/>
      <c r="AY29" s="1827"/>
      <c r="AZ29" s="1827"/>
      <c r="BA29" s="1827"/>
      <c r="BB29" s="1827"/>
      <c r="BC29" s="1827"/>
      <c r="BD29" s="1827"/>
      <c r="BE29" s="1827"/>
      <c r="BF29" s="1827"/>
      <c r="BG29" s="1639"/>
    </row>
    <row customHeight="1" ht="11.25">
      <c r="A30" s="1170" t="s">
        <v>1261</v>
      </c>
      <c r="B30" s="1170" t="s">
        <v>22</v>
      </c>
      <c r="C30" s="1170"/>
      <c r="D30" s="1164"/>
      <c r="E30" s="1174"/>
      <c r="F30" s="1833"/>
      <c r="G30" s="687" t="s">
        <v>104</v>
      </c>
      <c r="H30" s="2519" t="s">
        <v>90</v>
      </c>
      <c r="I30" s="2520" t="s">
        <v>1310</v>
      </c>
      <c r="J30" s="2938" t="s">
        <v>22</v>
      </c>
      <c r="K30" s="2521"/>
      <c r="L30" s="2111" t="s">
        <v>19</v>
      </c>
      <c r="M30" s="2112"/>
      <c r="N30" s="1990"/>
      <c r="O30" s="1181" t="s">
        <v>394</v>
      </c>
      <c r="P30" s="1182"/>
      <c r="Q30" s="1182"/>
      <c r="R30" s="1182"/>
      <c r="S30" s="1182"/>
      <c r="T30" s="1182"/>
      <c r="U30" s="1182"/>
      <c r="V30" s="1182"/>
      <c r="W30" s="1182"/>
      <c r="X30" s="1182"/>
      <c r="Y30" s="1182"/>
      <c r="Z30" s="1182"/>
      <c r="AA30" s="1182"/>
      <c r="AB30" s="1182"/>
      <c r="AC30" s="1182"/>
      <c r="AD30" s="1182"/>
      <c r="AE30" s="1182"/>
      <c r="AF30" s="2510">
        <v>2</v>
      </c>
      <c r="AG30" s="2511" t="s">
        <v>1304</v>
      </c>
      <c r="AH30" s="2511" t="s">
        <v>1305</v>
      </c>
      <c r="AI30" s="2510">
        <v>0</v>
      </c>
      <c r="AJ30" s="2511" t="s">
        <v>1304</v>
      </c>
      <c r="AK30" s="2511" t="s">
        <v>1305</v>
      </c>
      <c r="AL30" s="1992"/>
      <c r="AM30" s="1827"/>
      <c r="AN30" s="1827"/>
      <c r="AO30" s="1827"/>
      <c r="AP30" s="1827"/>
      <c r="AQ30" s="1827"/>
      <c r="AR30" s="1827"/>
      <c r="AS30" s="1827"/>
      <c r="AT30" s="1827"/>
      <c r="AU30" s="1827"/>
      <c r="AV30" s="1827"/>
      <c r="AW30" s="1827"/>
      <c r="AX30" s="1827"/>
      <c r="AY30" s="1827"/>
      <c r="AZ30" s="1827"/>
      <c r="BA30" s="1827"/>
      <c r="BB30" s="1827"/>
      <c r="BC30" s="1827"/>
      <c r="BD30" s="1827"/>
      <c r="BE30" s="1827"/>
      <c r="BF30" s="1827"/>
      <c r="BG30" s="1639"/>
    </row>
    <row customHeight="1" ht="11.25">
      <c r="A31" s="1170" t="s">
        <v>1261</v>
      </c>
      <c r="B31" s="1170"/>
      <c r="C31" s="1170"/>
      <c r="D31" s="1164"/>
      <c r="E31" s="1174"/>
      <c r="F31" s="1833"/>
      <c r="G31" s="1834"/>
      <c r="H31" s="2519" t="s">
        <v>103</v>
      </c>
      <c r="I31" s="2520"/>
      <c r="J31" s="2938"/>
      <c r="K31" s="2521"/>
      <c r="L31" s="2111"/>
      <c r="M31" s="2112"/>
      <c r="N31" s="2512"/>
      <c r="O31" s="2513">
        <v>1</v>
      </c>
      <c r="P31" s="2514" t="s">
        <v>19</v>
      </c>
      <c r="Q31" s="2517" t="s">
        <v>22</v>
      </c>
      <c r="R31" s="2517" t="s">
        <v>22</v>
      </c>
      <c r="S31" s="2517" t="s">
        <v>22</v>
      </c>
      <c r="T31" s="2517" t="s">
        <v>22</v>
      </c>
      <c r="U31" s="2517" t="s">
        <v>22</v>
      </c>
      <c r="V31" s="2517" t="s">
        <v>22</v>
      </c>
      <c r="W31" s="2517" t="s">
        <v>22</v>
      </c>
      <c r="X31" s="2517" t="s">
        <v>22</v>
      </c>
      <c r="Y31" s="2517"/>
      <c r="Z31" s="1179"/>
      <c r="AA31" s="1180"/>
      <c r="AB31" s="1180"/>
      <c r="AC31" s="1184"/>
      <c r="AD31" s="1184"/>
      <c r="AE31" s="1185"/>
      <c r="AF31" s="2510"/>
      <c r="AG31" s="2511"/>
      <c r="AH31" s="2511"/>
      <c r="AI31" s="2510"/>
      <c r="AJ31" s="2511"/>
      <c r="AK31" s="2511"/>
      <c r="AL31" s="1992"/>
      <c r="AM31" s="1827"/>
      <c r="AN31" s="1827"/>
      <c r="AO31" s="1827"/>
      <c r="AP31" s="1827"/>
      <c r="AQ31" s="1827"/>
      <c r="AR31" s="1827"/>
      <c r="AS31" s="1827"/>
      <c r="AT31" s="1827"/>
      <c r="AU31" s="1827"/>
      <c r="AV31" s="1827"/>
      <c r="AW31" s="1827"/>
      <c r="AX31" s="1827"/>
      <c r="AY31" s="1827"/>
      <c r="AZ31" s="1827"/>
      <c r="BA31" s="1827"/>
      <c r="BB31" s="1827"/>
      <c r="BC31" s="1827"/>
      <c r="BD31" s="1827"/>
      <c r="BE31" s="1827"/>
      <c r="BF31" s="1827"/>
      <c r="BG31" s="1639"/>
    </row>
    <row customHeight="1" ht="27.75">
      <c r="A32" s="1170" t="s">
        <v>1261</v>
      </c>
      <c r="B32" s="1170"/>
      <c r="C32" s="1170"/>
      <c r="D32" s="1164"/>
      <c r="E32" s="1174"/>
      <c r="F32" s="1833"/>
      <c r="G32" s="1834"/>
      <c r="H32" s="2519" t="s">
        <v>103</v>
      </c>
      <c r="I32" s="2520"/>
      <c r="J32" s="2938"/>
      <c r="K32" s="2521"/>
      <c r="L32" s="2111"/>
      <c r="M32" s="2112"/>
      <c r="N32" s="2512"/>
      <c r="O32" s="2513"/>
      <c r="P32" s="2515"/>
      <c r="Q32" s="2517"/>
      <c r="R32" s="2517"/>
      <c r="S32" s="2518"/>
      <c r="T32" s="2517"/>
      <c r="U32" s="2517"/>
      <c r="V32" s="2517"/>
      <c r="W32" s="2517"/>
      <c r="X32" s="2517"/>
      <c r="Y32" s="2517"/>
      <c r="Z32" s="1832"/>
      <c r="AA32" s="1798">
        <v>1</v>
      </c>
      <c r="AB32" s="1183" t="s">
        <v>1311</v>
      </c>
      <c r="AC32" s="1173">
        <v>91295</v>
      </c>
      <c r="AD32" s="1183" t="str">
        <f>AB32</f>
        <v>      Амортизационные отчисления с выделением результатов переоценки основных средств и нематериальных активов</v>
      </c>
      <c r="AE32" s="1173">
        <v>80993.939</v>
      </c>
      <c r="AF32" s="2510"/>
      <c r="AG32" s="2511"/>
      <c r="AH32" s="2511"/>
      <c r="AI32" s="2510"/>
      <c r="AJ32" s="2511"/>
      <c r="AK32" s="2511"/>
      <c r="AL32" s="1992"/>
      <c r="AM32" s="1827"/>
      <c r="AN32" s="1827"/>
      <c r="AO32" s="1827"/>
      <c r="AP32" s="1827"/>
      <c r="AQ32" s="1827"/>
      <c r="AR32" s="1827"/>
      <c r="AS32" s="1827"/>
      <c r="AT32" s="1827"/>
      <c r="AU32" s="1827"/>
      <c r="AV32" s="1827"/>
      <c r="AW32" s="1827"/>
      <c r="AX32" s="1827"/>
      <c r="AY32" s="1827"/>
      <c r="AZ32" s="1827"/>
      <c r="BA32" s="1827"/>
      <c r="BB32" s="1827"/>
      <c r="BC32" s="1827"/>
      <c r="BD32" s="1827"/>
      <c r="BE32" s="1827"/>
      <c r="BF32" s="1827"/>
      <c r="BG32" s="1639"/>
    </row>
    <row customHeight="1" ht="23.25">
      <c r="A33" s="1170" t="s">
        <v>1261</v>
      </c>
      <c r="B33" s="1170"/>
      <c r="C33" s="1170"/>
      <c r="D33" s="1164"/>
      <c r="E33" s="1174"/>
      <c r="F33" s="1834"/>
      <c r="G33" s="1834"/>
      <c r="H33" s="1834"/>
      <c r="I33" s="1834"/>
      <c r="J33" s="1834"/>
      <c r="K33" s="1834"/>
      <c r="L33" s="1834"/>
      <c r="M33" s="1834"/>
      <c r="N33" s="1834"/>
      <c r="O33" s="1834"/>
      <c r="P33" s="1834"/>
      <c r="Q33" s="1834"/>
      <c r="R33" s="1834"/>
      <c r="S33" s="1834"/>
      <c r="T33" s="1834"/>
      <c r="U33" s="1834"/>
      <c r="V33" s="1834"/>
      <c r="W33" s="1834"/>
      <c r="X33" s="1834"/>
      <c r="Y33" s="1834"/>
      <c r="Z33" s="687" t="s">
        <v>104</v>
      </c>
      <c r="AA33" s="1818" t="s">
        <v>103</v>
      </c>
      <c r="AB33" s="1183" t="s">
        <v>1312</v>
      </c>
      <c r="AC33" s="1173">
        <v>80837.615</v>
      </c>
      <c r="AD33" s="1183" t="str">
        <f>AB33</f>
        <v>      Займы, предоставленные Фондом ЖКХ за счет средств ФНБ</v>
      </c>
      <c r="AE33" s="1173">
        <v>80837.615</v>
      </c>
      <c r="AF33" s="1835"/>
      <c r="AG33" s="1763"/>
      <c r="AH33" s="1763"/>
      <c r="AI33" s="1835"/>
      <c r="AJ33" s="1763"/>
      <c r="AK33" s="1991"/>
      <c r="AL33" s="1992"/>
      <c r="AM33" s="1827"/>
      <c r="AN33" s="1827"/>
      <c r="AO33" s="1827"/>
      <c r="AP33" s="1827"/>
      <c r="AQ33" s="1827"/>
      <c r="AR33" s="1827"/>
      <c r="AS33" s="1827"/>
      <c r="AT33" s="1827"/>
      <c r="AU33" s="1827"/>
      <c r="AV33" s="1827"/>
      <c r="AW33" s="1827"/>
      <c r="AX33" s="1827"/>
      <c r="AY33" s="1827"/>
      <c r="AZ33" s="1827"/>
      <c r="BA33" s="1827"/>
      <c r="BB33" s="1827"/>
      <c r="BC33" s="1827"/>
      <c r="BD33" s="1827"/>
      <c r="BE33" s="1827"/>
      <c r="BF33" s="1827"/>
      <c r="BG33" s="1639"/>
    </row>
    <row customHeight="1" ht="11.25">
      <c r="A34" s="1170" t="s">
        <v>1261</v>
      </c>
      <c r="B34" s="1170"/>
      <c r="C34" s="1170"/>
      <c r="D34" s="1164"/>
      <c r="E34" s="1174"/>
      <c r="F34" s="1834"/>
      <c r="G34" s="1834"/>
      <c r="H34" s="1834"/>
      <c r="I34" s="1834"/>
      <c r="J34" s="1834"/>
      <c r="K34" s="1834"/>
      <c r="L34" s="1834"/>
      <c r="M34" s="1834"/>
      <c r="N34" s="1834"/>
      <c r="O34" s="1834"/>
      <c r="P34" s="1834"/>
      <c r="Q34" s="1834"/>
      <c r="R34" s="1834"/>
      <c r="S34" s="1834"/>
      <c r="T34" s="1834"/>
      <c r="U34" s="1834"/>
      <c r="V34" s="1834"/>
      <c r="W34" s="1834"/>
      <c r="X34" s="1834"/>
      <c r="Y34" s="1834"/>
      <c r="Z34" s="687" t="s">
        <v>104</v>
      </c>
      <c r="AA34" s="1818" t="s">
        <v>90</v>
      </c>
      <c r="AB34" s="1183" t="s">
        <v>1313</v>
      </c>
      <c r="AC34" s="1173">
        <v>337430.81</v>
      </c>
      <c r="AD34" s="1183" t="str">
        <f>AB34</f>
        <v>  Кредиты</v>
      </c>
      <c r="AE34" s="1173">
        <v>283879.832</v>
      </c>
      <c r="AF34" s="1835"/>
      <c r="AG34" s="1763"/>
      <c r="AH34" s="1763"/>
      <c r="AI34" s="1835"/>
      <c r="AJ34" s="1763"/>
      <c r="AK34" s="1991"/>
      <c r="AL34" s="1992"/>
      <c r="AM34" s="1827"/>
      <c r="AN34" s="1827"/>
      <c r="AO34" s="1827"/>
      <c r="AP34" s="1827"/>
      <c r="AQ34" s="1827"/>
      <c r="AR34" s="1827"/>
      <c r="AS34" s="1827"/>
      <c r="AT34" s="1827"/>
      <c r="AU34" s="1827"/>
      <c r="AV34" s="1827"/>
      <c r="AW34" s="1827"/>
      <c r="AX34" s="1827"/>
      <c r="AY34" s="1827"/>
      <c r="AZ34" s="1827"/>
      <c r="BA34" s="1827"/>
      <c r="BB34" s="1827"/>
      <c r="BC34" s="1827"/>
      <c r="BD34" s="1827"/>
      <c r="BE34" s="1827"/>
      <c r="BF34" s="1827"/>
      <c r="BG34" s="1639"/>
    </row>
    <row customHeight="1" ht="11.25">
      <c r="A35" s="1170" t="s">
        <v>1261</v>
      </c>
      <c r="B35" s="1170"/>
      <c r="C35" s="1170"/>
      <c r="D35" s="1164"/>
      <c r="E35" s="1174"/>
      <c r="F35" s="1833"/>
      <c r="G35" s="1834"/>
      <c r="H35" s="2519" t="s">
        <v>103</v>
      </c>
      <c r="I35" s="2520"/>
      <c r="J35" s="2938"/>
      <c r="K35" s="2521"/>
      <c r="L35" s="2111"/>
      <c r="M35" s="2112"/>
      <c r="N35" s="2512"/>
      <c r="O35" s="2513"/>
      <c r="P35" s="2516"/>
      <c r="Q35" s="2517"/>
      <c r="R35" s="2517"/>
      <c r="S35" s="2518"/>
      <c r="T35" s="2517"/>
      <c r="U35" s="2517"/>
      <c r="V35" s="2517"/>
      <c r="W35" s="2517"/>
      <c r="X35" s="2517"/>
      <c r="Y35" s="2517"/>
      <c r="Z35" s="1179"/>
      <c r="AA35" s="1180"/>
      <c r="AB35" s="1245" t="s">
        <v>1307</v>
      </c>
      <c r="AC35" s="1184"/>
      <c r="AD35" s="1184"/>
      <c r="AE35" s="1186"/>
      <c r="AF35" s="2510"/>
      <c r="AG35" s="2511"/>
      <c r="AH35" s="2511"/>
      <c r="AI35" s="2510"/>
      <c r="AJ35" s="2511"/>
      <c r="AK35" s="2511"/>
      <c r="AL35" s="1992"/>
      <c r="AM35" s="1827"/>
      <c r="AN35" s="1827"/>
      <c r="AO35" s="1827"/>
      <c r="AP35" s="1827"/>
      <c r="AQ35" s="1827"/>
      <c r="AR35" s="1827"/>
      <c r="AS35" s="1827"/>
      <c r="AT35" s="1827"/>
      <c r="AU35" s="1827"/>
      <c r="AV35" s="1827"/>
      <c r="AW35" s="1827"/>
      <c r="AX35" s="1827"/>
      <c r="AY35" s="1827"/>
      <c r="AZ35" s="1827"/>
      <c r="BA35" s="1827"/>
      <c r="BB35" s="1827"/>
      <c r="BC35" s="1827"/>
      <c r="BD35" s="1827"/>
      <c r="BE35" s="1827"/>
      <c r="BF35" s="1827"/>
      <c r="BG35" s="1639"/>
    </row>
    <row customHeight="1" ht="11.25">
      <c r="A36" s="1170" t="s">
        <v>1261</v>
      </c>
      <c r="B36" s="1170"/>
      <c r="C36" s="1170"/>
      <c r="D36" s="1164"/>
      <c r="E36" s="1174"/>
      <c r="F36" s="1833"/>
      <c r="G36" s="1834"/>
      <c r="H36" s="2519" t="s">
        <v>103</v>
      </c>
      <c r="I36" s="2520"/>
      <c r="J36" s="2938"/>
      <c r="K36" s="2521"/>
      <c r="L36" s="2111"/>
      <c r="M36" s="2112"/>
      <c r="N36" s="1179"/>
      <c r="O36" s="1180"/>
      <c r="P36" s="1172" t="s">
        <v>1308</v>
      </c>
      <c r="Q36" s="1180"/>
      <c r="R36" s="1180"/>
      <c r="S36" s="1180"/>
      <c r="T36" s="1180"/>
      <c r="U36" s="1180"/>
      <c r="V36" s="1180"/>
      <c r="W36" s="1180"/>
      <c r="X36" s="1180"/>
      <c r="Y36" s="1180"/>
      <c r="Z36" s="1180"/>
      <c r="AA36" s="1180"/>
      <c r="AB36" s="1180"/>
      <c r="AC36" s="1180"/>
      <c r="AD36" s="1180"/>
      <c r="AE36" s="1187"/>
      <c r="AF36" s="2510"/>
      <c r="AG36" s="2511"/>
      <c r="AH36" s="2511"/>
      <c r="AI36" s="2510"/>
      <c r="AJ36" s="2511"/>
      <c r="AK36" s="2511"/>
      <c r="AL36" s="1992"/>
      <c r="AM36" s="1827"/>
      <c r="AN36" s="1827"/>
      <c r="AO36" s="1827"/>
      <c r="AP36" s="1827"/>
      <c r="AQ36" s="1827"/>
      <c r="AR36" s="1827"/>
      <c r="AS36" s="1827"/>
      <c r="AT36" s="1827"/>
      <c r="AU36" s="1827"/>
      <c r="AV36" s="1827"/>
      <c r="AW36" s="1827"/>
      <c r="AX36" s="1827"/>
      <c r="AY36" s="1827"/>
      <c r="AZ36" s="1827"/>
      <c r="BA36" s="1827"/>
      <c r="BB36" s="1827"/>
      <c r="BC36" s="1827"/>
      <c r="BD36" s="1827"/>
      <c r="BE36" s="1827"/>
      <c r="BF36" s="1827"/>
      <c r="BG36" s="1639"/>
    </row>
    <row customHeight="1" ht="11.25">
      <c r="A37" s="1170" t="s">
        <v>1261</v>
      </c>
      <c r="B37" s="1170" t="s">
        <v>22</v>
      </c>
      <c r="C37" s="1170"/>
      <c r="D37" s="1164"/>
      <c r="E37" s="1174"/>
      <c r="F37" s="1833"/>
      <c r="G37" s="687" t="s">
        <v>104</v>
      </c>
      <c r="H37" s="2519" t="s">
        <v>91</v>
      </c>
      <c r="I37" s="2520" t="s">
        <v>1310</v>
      </c>
      <c r="J37" s="2938" t="s">
        <v>22</v>
      </c>
      <c r="K37" s="2521"/>
      <c r="L37" s="2111" t="s">
        <v>19</v>
      </c>
      <c r="M37" s="2112"/>
      <c r="N37" s="1990"/>
      <c r="O37" s="1181" t="s">
        <v>394</v>
      </c>
      <c r="P37" s="1182"/>
      <c r="Q37" s="1182"/>
      <c r="R37" s="1182"/>
      <c r="S37" s="1182"/>
      <c r="T37" s="1182"/>
      <c r="U37" s="1182"/>
      <c r="V37" s="1182"/>
      <c r="W37" s="1182"/>
      <c r="X37" s="1182"/>
      <c r="Y37" s="1182"/>
      <c r="Z37" s="1182"/>
      <c r="AA37" s="1182"/>
      <c r="AB37" s="1182"/>
      <c r="AC37" s="1182"/>
      <c r="AD37" s="1182"/>
      <c r="AE37" s="1182"/>
      <c r="AF37" s="2510">
        <v>10</v>
      </c>
      <c r="AG37" s="2511" t="s">
        <v>1304</v>
      </c>
      <c r="AH37" s="2511" t="s">
        <v>1314</v>
      </c>
      <c r="AI37" s="2510">
        <v>0</v>
      </c>
      <c r="AJ37" s="2511" t="s">
        <v>1304</v>
      </c>
      <c r="AK37" s="2511" t="s">
        <v>1314</v>
      </c>
      <c r="AL37" s="1992"/>
      <c r="AM37" s="1827"/>
      <c r="AN37" s="1827"/>
      <c r="AO37" s="1827"/>
      <c r="AP37" s="1827"/>
      <c r="AQ37" s="1827"/>
      <c r="AR37" s="1827"/>
      <c r="AS37" s="1827"/>
      <c r="AT37" s="1827"/>
      <c r="AU37" s="1827"/>
      <c r="AV37" s="1827"/>
      <c r="AW37" s="1827"/>
      <c r="AX37" s="1827"/>
      <c r="AY37" s="1827"/>
      <c r="AZ37" s="1827"/>
      <c r="BA37" s="1827"/>
      <c r="BB37" s="1827"/>
      <c r="BC37" s="1827"/>
      <c r="BD37" s="1827"/>
      <c r="BE37" s="1827"/>
      <c r="BF37" s="1827"/>
      <c r="BG37" s="1639"/>
    </row>
    <row customHeight="1" ht="11.25">
      <c r="A38" s="1170" t="s">
        <v>1261</v>
      </c>
      <c r="B38" s="1170"/>
      <c r="C38" s="1170"/>
      <c r="D38" s="1164"/>
      <c r="E38" s="1174"/>
      <c r="F38" s="1833"/>
      <c r="G38" s="1834"/>
      <c r="H38" s="2519" t="s">
        <v>90</v>
      </c>
      <c r="I38" s="2520"/>
      <c r="J38" s="2938"/>
      <c r="K38" s="2521"/>
      <c r="L38" s="2111"/>
      <c r="M38" s="2112"/>
      <c r="N38" s="2512"/>
      <c r="O38" s="2513">
        <v>1</v>
      </c>
      <c r="P38" s="2514" t="s">
        <v>19</v>
      </c>
      <c r="Q38" s="2517" t="s">
        <v>22</v>
      </c>
      <c r="R38" s="2517" t="s">
        <v>22</v>
      </c>
      <c r="S38" s="2517" t="s">
        <v>22</v>
      </c>
      <c r="T38" s="2517" t="s">
        <v>22</v>
      </c>
      <c r="U38" s="2517" t="s">
        <v>22</v>
      </c>
      <c r="V38" s="2517" t="s">
        <v>22</v>
      </c>
      <c r="W38" s="2517" t="s">
        <v>22</v>
      </c>
      <c r="X38" s="2517" t="s">
        <v>22</v>
      </c>
      <c r="Y38" s="2517"/>
      <c r="Z38" s="1179"/>
      <c r="AA38" s="1180"/>
      <c r="AB38" s="1180"/>
      <c r="AC38" s="1184"/>
      <c r="AD38" s="1184"/>
      <c r="AE38" s="1185"/>
      <c r="AF38" s="2510"/>
      <c r="AG38" s="2511"/>
      <c r="AH38" s="2511"/>
      <c r="AI38" s="2510"/>
      <c r="AJ38" s="2511"/>
      <c r="AK38" s="2511"/>
      <c r="AL38" s="1992"/>
      <c r="AM38" s="1827"/>
      <c r="AN38" s="1827"/>
      <c r="AO38" s="1827"/>
      <c r="AP38" s="1827"/>
      <c r="AQ38" s="1827"/>
      <c r="AR38" s="1827"/>
      <c r="AS38" s="1827"/>
      <c r="AT38" s="1827"/>
      <c r="AU38" s="1827"/>
      <c r="AV38" s="1827"/>
      <c r="AW38" s="1827"/>
      <c r="AX38" s="1827"/>
      <c r="AY38" s="1827"/>
      <c r="AZ38" s="1827"/>
      <c r="BA38" s="1827"/>
      <c r="BB38" s="1827"/>
      <c r="BC38" s="1827"/>
      <c r="BD38" s="1827"/>
      <c r="BE38" s="1827"/>
      <c r="BF38" s="1827"/>
      <c r="BG38" s="1639"/>
    </row>
    <row customHeight="1" ht="14.25">
      <c r="A39" s="1170" t="s">
        <v>1261</v>
      </c>
      <c r="B39" s="1170"/>
      <c r="C39" s="1170"/>
      <c r="D39" s="1164"/>
      <c r="E39" s="1174"/>
      <c r="F39" s="1833"/>
      <c r="G39" s="1834"/>
      <c r="H39" s="2519" t="s">
        <v>90</v>
      </c>
      <c r="I39" s="2520"/>
      <c r="J39" s="2938"/>
      <c r="K39" s="2521"/>
      <c r="L39" s="2111"/>
      <c r="M39" s="2112"/>
      <c r="N39" s="2512"/>
      <c r="O39" s="2513"/>
      <c r="P39" s="2515"/>
      <c r="Q39" s="2517"/>
      <c r="R39" s="2517"/>
      <c r="S39" s="2518"/>
      <c r="T39" s="2517"/>
      <c r="U39" s="2517"/>
      <c r="V39" s="2517"/>
      <c r="W39" s="2517"/>
      <c r="X39" s="2517"/>
      <c r="Y39" s="2517"/>
      <c r="Z39" s="1832"/>
      <c r="AA39" s="1798">
        <v>1</v>
      </c>
      <c r="AB39" s="1183" t="s">
        <v>1313</v>
      </c>
      <c r="AC39" s="1173">
        <v>135409.316</v>
      </c>
      <c r="AD39" s="1183" t="str">
        <f>AB39</f>
        <v>  Кредиты</v>
      </c>
      <c r="AE39" s="1173">
        <v>113680.463</v>
      </c>
      <c r="AF39" s="2510"/>
      <c r="AG39" s="2511"/>
      <c r="AH39" s="2511"/>
      <c r="AI39" s="2510"/>
      <c r="AJ39" s="2511"/>
      <c r="AK39" s="2511"/>
      <c r="AL39" s="1992"/>
      <c r="AM39" s="1827"/>
      <c r="AN39" s="1827"/>
      <c r="AO39" s="1827"/>
      <c r="AP39" s="1827"/>
      <c r="AQ39" s="1827"/>
      <c r="AR39" s="1827"/>
      <c r="AS39" s="1827"/>
      <c r="AT39" s="1827"/>
      <c r="AU39" s="1827"/>
      <c r="AV39" s="1827"/>
      <c r="AW39" s="1827"/>
      <c r="AX39" s="1827"/>
      <c r="AY39" s="1827"/>
      <c r="AZ39" s="1827"/>
      <c r="BA39" s="1827"/>
      <c r="BB39" s="1827"/>
      <c r="BC39" s="1827"/>
      <c r="BD39" s="1827"/>
      <c r="BE39" s="1827"/>
      <c r="BF39" s="1827"/>
      <c r="BG39" s="1639"/>
    </row>
    <row customHeight="1" ht="11.25">
      <c r="A40" s="1170" t="s">
        <v>1261</v>
      </c>
      <c r="B40" s="1170"/>
      <c r="C40" s="1170"/>
      <c r="D40" s="1164"/>
      <c r="E40" s="1174"/>
      <c r="F40" s="1833"/>
      <c r="G40" s="1834"/>
      <c r="H40" s="2519" t="s">
        <v>90</v>
      </c>
      <c r="I40" s="2520"/>
      <c r="J40" s="2938"/>
      <c r="K40" s="2521"/>
      <c r="L40" s="2111"/>
      <c r="M40" s="2112"/>
      <c r="N40" s="2512"/>
      <c r="O40" s="2513"/>
      <c r="P40" s="2516"/>
      <c r="Q40" s="2517"/>
      <c r="R40" s="2517"/>
      <c r="S40" s="2518"/>
      <c r="T40" s="2517"/>
      <c r="U40" s="2517"/>
      <c r="V40" s="2517"/>
      <c r="W40" s="2517"/>
      <c r="X40" s="2517"/>
      <c r="Y40" s="2517"/>
      <c r="Z40" s="1179"/>
      <c r="AA40" s="1180"/>
      <c r="AB40" s="1245" t="s">
        <v>1307</v>
      </c>
      <c r="AC40" s="1184"/>
      <c r="AD40" s="1184"/>
      <c r="AE40" s="1186"/>
      <c r="AF40" s="2510"/>
      <c r="AG40" s="2511"/>
      <c r="AH40" s="2511"/>
      <c r="AI40" s="2510"/>
      <c r="AJ40" s="2511"/>
      <c r="AK40" s="2511"/>
      <c r="AL40" s="1992"/>
      <c r="AM40" s="1827"/>
      <c r="AN40" s="1827"/>
      <c r="AO40" s="1827"/>
      <c r="AP40" s="1827"/>
      <c r="AQ40" s="1827"/>
      <c r="AR40" s="1827"/>
      <c r="AS40" s="1827"/>
      <c r="AT40" s="1827"/>
      <c r="AU40" s="1827"/>
      <c r="AV40" s="1827"/>
      <c r="AW40" s="1827"/>
      <c r="AX40" s="1827"/>
      <c r="AY40" s="1827"/>
      <c r="AZ40" s="1827"/>
      <c r="BA40" s="1827"/>
      <c r="BB40" s="1827"/>
      <c r="BC40" s="1827"/>
      <c r="BD40" s="1827"/>
      <c r="BE40" s="1827"/>
      <c r="BF40" s="1827"/>
      <c r="BG40" s="1639"/>
    </row>
    <row customHeight="1" ht="11.25">
      <c r="A41" s="1170" t="s">
        <v>1261</v>
      </c>
      <c r="B41" s="1170"/>
      <c r="C41" s="1170"/>
      <c r="D41" s="1164"/>
      <c r="E41" s="1174"/>
      <c r="F41" s="1833"/>
      <c r="G41" s="1834"/>
      <c r="H41" s="2519" t="s">
        <v>90</v>
      </c>
      <c r="I41" s="2520"/>
      <c r="J41" s="2938"/>
      <c r="K41" s="2521"/>
      <c r="L41" s="2111"/>
      <c r="M41" s="2112"/>
      <c r="N41" s="1179"/>
      <c r="O41" s="1180"/>
      <c r="P41" s="1172" t="s">
        <v>1308</v>
      </c>
      <c r="Q41" s="1180"/>
      <c r="R41" s="1180"/>
      <c r="S41" s="1180"/>
      <c r="T41" s="1180"/>
      <c r="U41" s="1180"/>
      <c r="V41" s="1180"/>
      <c r="W41" s="1180"/>
      <c r="X41" s="1180"/>
      <c r="Y41" s="1180"/>
      <c r="Z41" s="1180"/>
      <c r="AA41" s="1180"/>
      <c r="AB41" s="1180"/>
      <c r="AC41" s="1180"/>
      <c r="AD41" s="1180"/>
      <c r="AE41" s="1187"/>
      <c r="AF41" s="2510"/>
      <c r="AG41" s="2511"/>
      <c r="AH41" s="2511"/>
      <c r="AI41" s="2510"/>
      <c r="AJ41" s="2511"/>
      <c r="AK41" s="2511"/>
      <c r="AL41" s="1992"/>
      <c r="AM41" s="1827"/>
      <c r="AN41" s="1827"/>
      <c r="AO41" s="1827"/>
      <c r="AP41" s="1827"/>
      <c r="AQ41" s="1827"/>
      <c r="AR41" s="1827"/>
      <c r="AS41" s="1827"/>
      <c r="AT41" s="1827"/>
      <c r="AU41" s="1827"/>
      <c r="AV41" s="1827"/>
      <c r="AW41" s="1827"/>
      <c r="AX41" s="1827"/>
      <c r="AY41" s="1827"/>
      <c r="AZ41" s="1827"/>
      <c r="BA41" s="1827"/>
      <c r="BB41" s="1827"/>
      <c r="BC41" s="1827"/>
      <c r="BD41" s="1827"/>
      <c r="BE41" s="1827"/>
      <c r="BF41" s="1827"/>
      <c r="BG41" s="1639"/>
    </row>
    <row customHeight="1" ht="11.25">
      <c r="A42" s="1170" t="s">
        <v>1261</v>
      </c>
      <c r="B42" s="1170" t="s">
        <v>22</v>
      </c>
      <c r="C42" s="1170"/>
      <c r="D42" s="1164"/>
      <c r="E42" s="1174"/>
      <c r="F42" s="1833"/>
      <c r="G42" s="687" t="s">
        <v>104</v>
      </c>
      <c r="H42" s="2519" t="s">
        <v>120</v>
      </c>
      <c r="I42" s="2520" t="s">
        <v>1315</v>
      </c>
      <c r="J42" s="2938" t="s">
        <v>22</v>
      </c>
      <c r="K42" s="2521"/>
      <c r="L42" s="2111" t="s">
        <v>19</v>
      </c>
      <c r="M42" s="2112"/>
      <c r="N42" s="1990"/>
      <c r="O42" s="1181" t="s">
        <v>394</v>
      </c>
      <c r="P42" s="1182"/>
      <c r="Q42" s="1182"/>
      <c r="R42" s="1182"/>
      <c r="S42" s="1182"/>
      <c r="T42" s="1182"/>
      <c r="U42" s="1182"/>
      <c r="V42" s="1182"/>
      <c r="W42" s="1182"/>
      <c r="X42" s="1182"/>
      <c r="Y42" s="1182"/>
      <c r="Z42" s="1182"/>
      <c r="AA42" s="1182"/>
      <c r="AB42" s="1182"/>
      <c r="AC42" s="1182"/>
      <c r="AD42" s="1182"/>
      <c r="AE42" s="1182"/>
      <c r="AF42" s="2510">
        <v>25</v>
      </c>
      <c r="AG42" s="2511" t="s">
        <v>1304</v>
      </c>
      <c r="AH42" s="2511" t="s">
        <v>1316</v>
      </c>
      <c r="AI42" s="2510">
        <v>0</v>
      </c>
      <c r="AJ42" s="2511" t="s">
        <v>1304</v>
      </c>
      <c r="AK42" s="2511" t="s">
        <v>1316</v>
      </c>
      <c r="AL42" s="1992"/>
      <c r="AM42" s="1827"/>
      <c r="AN42" s="1827"/>
      <c r="AO42" s="1827"/>
      <c r="AP42" s="1827"/>
      <c r="AQ42" s="1827"/>
      <c r="AR42" s="1827"/>
      <c r="AS42" s="1827"/>
      <c r="AT42" s="1827"/>
      <c r="AU42" s="1827"/>
      <c r="AV42" s="1827"/>
      <c r="AW42" s="1827"/>
      <c r="AX42" s="1827"/>
      <c r="AY42" s="1827"/>
      <c r="AZ42" s="1827"/>
      <c r="BA42" s="1827"/>
      <c r="BB42" s="1827"/>
      <c r="BC42" s="1827"/>
      <c r="BD42" s="1827"/>
      <c r="BE42" s="1827"/>
      <c r="BF42" s="1827"/>
      <c r="BG42" s="1639"/>
    </row>
    <row customHeight="1" ht="11.25">
      <c r="A43" s="1170" t="s">
        <v>1261</v>
      </c>
      <c r="B43" s="1170"/>
      <c r="C43" s="1170"/>
      <c r="D43" s="1164"/>
      <c r="E43" s="1174"/>
      <c r="F43" s="1833"/>
      <c r="G43" s="1834"/>
      <c r="H43" s="2519" t="s">
        <v>91</v>
      </c>
      <c r="I43" s="2520"/>
      <c r="J43" s="2938"/>
      <c r="K43" s="2521"/>
      <c r="L43" s="2111"/>
      <c r="M43" s="2112"/>
      <c r="N43" s="2512"/>
      <c r="O43" s="2513">
        <v>1</v>
      </c>
      <c r="P43" s="2514" t="s">
        <v>19</v>
      </c>
      <c r="Q43" s="2517" t="s">
        <v>22</v>
      </c>
      <c r="R43" s="2517" t="s">
        <v>22</v>
      </c>
      <c r="S43" s="2517" t="s">
        <v>22</v>
      </c>
      <c r="T43" s="2517" t="s">
        <v>22</v>
      </c>
      <c r="U43" s="2517" t="s">
        <v>22</v>
      </c>
      <c r="V43" s="2517" t="s">
        <v>22</v>
      </c>
      <c r="W43" s="2517" t="s">
        <v>22</v>
      </c>
      <c r="X43" s="2517" t="s">
        <v>22</v>
      </c>
      <c r="Y43" s="2517"/>
      <c r="Z43" s="1179"/>
      <c r="AA43" s="1180"/>
      <c r="AB43" s="1180"/>
      <c r="AC43" s="1184"/>
      <c r="AD43" s="1184"/>
      <c r="AE43" s="1185"/>
      <c r="AF43" s="2510"/>
      <c r="AG43" s="2511"/>
      <c r="AH43" s="2511"/>
      <c r="AI43" s="2510"/>
      <c r="AJ43" s="2511"/>
      <c r="AK43" s="2511"/>
      <c r="AL43" s="1992"/>
      <c r="AM43" s="1827"/>
      <c r="AN43" s="1827"/>
      <c r="AO43" s="1827"/>
      <c r="AP43" s="1827"/>
      <c r="AQ43" s="1827"/>
      <c r="AR43" s="1827"/>
      <c r="AS43" s="1827"/>
      <c r="AT43" s="1827"/>
      <c r="AU43" s="1827"/>
      <c r="AV43" s="1827"/>
      <c r="AW43" s="1827"/>
      <c r="AX43" s="1827"/>
      <c r="AY43" s="1827"/>
      <c r="AZ43" s="1827"/>
      <c r="BA43" s="1827"/>
      <c r="BB43" s="1827"/>
      <c r="BC43" s="1827"/>
      <c r="BD43" s="1827"/>
      <c r="BE43" s="1827"/>
      <c r="BF43" s="1827"/>
      <c r="BG43" s="1639"/>
    </row>
    <row customHeight="1" ht="30.75">
      <c r="A44" s="1170" t="s">
        <v>1261</v>
      </c>
      <c r="B44" s="1170"/>
      <c r="C44" s="1170"/>
      <c r="D44" s="1164"/>
      <c r="E44" s="1174"/>
      <c r="F44" s="1833"/>
      <c r="G44" s="1834"/>
      <c r="H44" s="2519" t="s">
        <v>91</v>
      </c>
      <c r="I44" s="2520"/>
      <c r="J44" s="2938"/>
      <c r="K44" s="2521"/>
      <c r="L44" s="2111"/>
      <c r="M44" s="2112"/>
      <c r="N44" s="2512"/>
      <c r="O44" s="2513"/>
      <c r="P44" s="2515"/>
      <c r="Q44" s="2517"/>
      <c r="R44" s="2517"/>
      <c r="S44" s="2518"/>
      <c r="T44" s="2517"/>
      <c r="U44" s="2517"/>
      <c r="V44" s="2517"/>
      <c r="W44" s="2517"/>
      <c r="X44" s="2517"/>
      <c r="Y44" s="2517"/>
      <c r="Z44" s="1832"/>
      <c r="AA44" s="1798">
        <v>1</v>
      </c>
      <c r="AB44" s="1183" t="s">
        <v>1311</v>
      </c>
      <c r="AC44" s="1173">
        <v>291080</v>
      </c>
      <c r="AD44" s="1183" t="str">
        <f>AB44</f>
        <v>      Амортизационные отчисления с выделением результатов переоценки основных средств и нематериальных активов</v>
      </c>
      <c r="AE44" s="1173">
        <v>61048.713</v>
      </c>
      <c r="AF44" s="2510"/>
      <c r="AG44" s="2511"/>
      <c r="AH44" s="2511"/>
      <c r="AI44" s="2510"/>
      <c r="AJ44" s="2511"/>
      <c r="AK44" s="2511"/>
      <c r="AL44" s="1992"/>
      <c r="AM44" s="1827"/>
      <c r="AN44" s="1827"/>
      <c r="AO44" s="1827"/>
      <c r="AP44" s="1827"/>
      <c r="AQ44" s="1827"/>
      <c r="AR44" s="1827"/>
      <c r="AS44" s="1827"/>
      <c r="AT44" s="1827"/>
      <c r="AU44" s="1827"/>
      <c r="AV44" s="1827"/>
      <c r="AW44" s="1827"/>
      <c r="AX44" s="1827"/>
      <c r="AY44" s="1827"/>
      <c r="AZ44" s="1827"/>
      <c r="BA44" s="1827"/>
      <c r="BB44" s="1827"/>
      <c r="BC44" s="1827"/>
      <c r="BD44" s="1827"/>
      <c r="BE44" s="1827"/>
      <c r="BF44" s="1827"/>
      <c r="BG44" s="1639"/>
    </row>
    <row customHeight="1" ht="15">
      <c r="A45" s="1170" t="s">
        <v>1261</v>
      </c>
      <c r="B45" s="1170"/>
      <c r="C45" s="1170"/>
      <c r="D45" s="1164"/>
      <c r="E45" s="1174"/>
      <c r="F45" s="1834"/>
      <c r="G45" s="1834"/>
      <c r="H45" s="1834"/>
      <c r="I45" s="1834"/>
      <c r="J45" s="1834"/>
      <c r="K45" s="1834"/>
      <c r="L45" s="1834"/>
      <c r="M45" s="1834"/>
      <c r="N45" s="1834"/>
      <c r="O45" s="1834"/>
      <c r="P45" s="1834"/>
      <c r="Q45" s="1834"/>
      <c r="R45" s="1834"/>
      <c r="S45" s="1834"/>
      <c r="T45" s="1834"/>
      <c r="U45" s="1834"/>
      <c r="V45" s="1834"/>
      <c r="W45" s="1834"/>
      <c r="X45" s="1834"/>
      <c r="Y45" s="1834"/>
      <c r="Z45" s="687" t="s">
        <v>104</v>
      </c>
      <c r="AA45" s="1818" t="s">
        <v>103</v>
      </c>
      <c r="AB45" s="1183" t="s">
        <v>1317</v>
      </c>
      <c r="AC45" s="1173">
        <v>0</v>
      </c>
      <c r="AD45" s="1183" t="str">
        <f>AB45</f>
        <v>  Прибыль направляемая на инвестиции</v>
      </c>
      <c r="AE45" s="1173">
        <v>0</v>
      </c>
      <c r="AF45" s="1835"/>
      <c r="AG45" s="1763"/>
      <c r="AH45" s="1763"/>
      <c r="AI45" s="1835"/>
      <c r="AJ45" s="1763"/>
      <c r="AK45" s="1991"/>
      <c r="AL45" s="1992"/>
      <c r="AM45" s="1827"/>
      <c r="AN45" s="1827"/>
      <c r="AO45" s="1827"/>
      <c r="AP45" s="1827"/>
      <c r="AQ45" s="1827"/>
      <c r="AR45" s="1827"/>
      <c r="AS45" s="1827"/>
      <c r="AT45" s="1827"/>
      <c r="AU45" s="1827"/>
      <c r="AV45" s="1827"/>
      <c r="AW45" s="1827"/>
      <c r="AX45" s="1827"/>
      <c r="AY45" s="1827"/>
      <c r="AZ45" s="1827"/>
      <c r="BA45" s="1827"/>
      <c r="BB45" s="1827"/>
      <c r="BC45" s="1827"/>
      <c r="BD45" s="1827"/>
      <c r="BE45" s="1827"/>
      <c r="BF45" s="1827"/>
      <c r="BG45" s="1639"/>
    </row>
    <row customHeight="1" ht="20.25">
      <c r="A46" s="1170" t="s">
        <v>1261</v>
      </c>
      <c r="B46" s="1170"/>
      <c r="C46" s="1170"/>
      <c r="D46" s="1164"/>
      <c r="E46" s="1174"/>
      <c r="F46" s="1834"/>
      <c r="G46" s="1834"/>
      <c r="H46" s="1834"/>
      <c r="I46" s="1834"/>
      <c r="J46" s="1834"/>
      <c r="K46" s="1834"/>
      <c r="L46" s="1834"/>
      <c r="M46" s="1834"/>
      <c r="N46" s="1834"/>
      <c r="O46" s="1834"/>
      <c r="P46" s="1834"/>
      <c r="Q46" s="1834"/>
      <c r="R46" s="1834"/>
      <c r="S46" s="1834"/>
      <c r="T46" s="1834"/>
      <c r="U46" s="1834"/>
      <c r="V46" s="1834"/>
      <c r="W46" s="1834"/>
      <c r="X46" s="1834"/>
      <c r="Y46" s="1834"/>
      <c r="Z46" s="687" t="s">
        <v>104</v>
      </c>
      <c r="AA46" s="1818" t="s">
        <v>90</v>
      </c>
      <c r="AB46" s="1183" t="s">
        <v>1312</v>
      </c>
      <c r="AC46" s="1173">
        <v>257737.385</v>
      </c>
      <c r="AD46" s="1183" t="str">
        <f>AB46</f>
        <v>      Займы, предоставленные Фондом ЖКХ за счет средств ФНБ</v>
      </c>
      <c r="AE46" s="1173">
        <v>254112.465</v>
      </c>
      <c r="AF46" s="1835"/>
      <c r="AG46" s="1763"/>
      <c r="AH46" s="1763"/>
      <c r="AI46" s="1835"/>
      <c r="AJ46" s="1763"/>
      <c r="AK46" s="1991"/>
      <c r="AL46" s="1992"/>
      <c r="AM46" s="1827"/>
      <c r="AN46" s="1827"/>
      <c r="AO46" s="1827"/>
      <c r="AP46" s="1827"/>
      <c r="AQ46" s="1827"/>
      <c r="AR46" s="1827"/>
      <c r="AS46" s="1827"/>
      <c r="AT46" s="1827"/>
      <c r="AU46" s="1827"/>
      <c r="AV46" s="1827"/>
      <c r="AW46" s="1827"/>
      <c r="AX46" s="1827"/>
      <c r="AY46" s="1827"/>
      <c r="AZ46" s="1827"/>
      <c r="BA46" s="1827"/>
      <c r="BB46" s="1827"/>
      <c r="BC46" s="1827"/>
      <c r="BD46" s="1827"/>
      <c r="BE46" s="1827"/>
      <c r="BF46" s="1827"/>
      <c r="BG46" s="1639"/>
    </row>
    <row customHeight="1" ht="15.75">
      <c r="A47" s="1170" t="s">
        <v>1261</v>
      </c>
      <c r="B47" s="1170"/>
      <c r="C47" s="1170"/>
      <c r="D47" s="1164"/>
      <c r="E47" s="1174"/>
      <c r="F47" s="1834"/>
      <c r="G47" s="1834"/>
      <c r="H47" s="1834"/>
      <c r="I47" s="1834"/>
      <c r="J47" s="1834"/>
      <c r="K47" s="1834"/>
      <c r="L47" s="1834"/>
      <c r="M47" s="1834"/>
      <c r="N47" s="1834"/>
      <c r="O47" s="1834"/>
      <c r="P47" s="1834"/>
      <c r="Q47" s="1834"/>
      <c r="R47" s="1834"/>
      <c r="S47" s="1834"/>
      <c r="T47" s="1834"/>
      <c r="U47" s="1834"/>
      <c r="V47" s="1834"/>
      <c r="W47" s="1834"/>
      <c r="X47" s="1834"/>
      <c r="Y47" s="1834"/>
      <c r="Z47" s="687" t="s">
        <v>104</v>
      </c>
      <c r="AA47" s="1818" t="s">
        <v>91</v>
      </c>
      <c r="AB47" s="1183" t="s">
        <v>1313</v>
      </c>
      <c r="AC47" s="1173">
        <v>322737.43</v>
      </c>
      <c r="AD47" s="1183" t="str">
        <f>AB47</f>
        <v>  Кредиты</v>
      </c>
      <c r="AE47" s="1173">
        <v>305199.331</v>
      </c>
      <c r="AF47" s="1835"/>
      <c r="AG47" s="1763"/>
      <c r="AH47" s="1763"/>
      <c r="AI47" s="1835"/>
      <c r="AJ47" s="1763"/>
      <c r="AK47" s="1991"/>
      <c r="AL47" s="1992"/>
      <c r="AM47" s="1827"/>
      <c r="AN47" s="1827"/>
      <c r="AO47" s="1827"/>
      <c r="AP47" s="1827"/>
      <c r="AQ47" s="1827"/>
      <c r="AR47" s="1827"/>
      <c r="AS47" s="1827"/>
      <c r="AT47" s="1827"/>
      <c r="AU47" s="1827"/>
      <c r="AV47" s="1827"/>
      <c r="AW47" s="1827"/>
      <c r="AX47" s="1827"/>
      <c r="AY47" s="1827"/>
      <c r="AZ47" s="1827"/>
      <c r="BA47" s="1827"/>
      <c r="BB47" s="1827"/>
      <c r="BC47" s="1827"/>
      <c r="BD47" s="1827"/>
      <c r="BE47" s="1827"/>
      <c r="BF47" s="1827"/>
      <c r="BG47" s="1639"/>
    </row>
    <row customHeight="1" ht="11.25">
      <c r="A48" s="1170" t="s">
        <v>1261</v>
      </c>
      <c r="B48" s="1170"/>
      <c r="C48" s="1170"/>
      <c r="D48" s="1164"/>
      <c r="E48" s="1174"/>
      <c r="F48" s="1833"/>
      <c r="G48" s="1834"/>
      <c r="H48" s="2519" t="s">
        <v>91</v>
      </c>
      <c r="I48" s="2520"/>
      <c r="J48" s="2938"/>
      <c r="K48" s="2521"/>
      <c r="L48" s="2111"/>
      <c r="M48" s="2112"/>
      <c r="N48" s="2512"/>
      <c r="O48" s="2513"/>
      <c r="P48" s="2516"/>
      <c r="Q48" s="2517"/>
      <c r="R48" s="2517"/>
      <c r="S48" s="2518"/>
      <c r="T48" s="2517"/>
      <c r="U48" s="2517"/>
      <c r="V48" s="2517"/>
      <c r="W48" s="2517"/>
      <c r="X48" s="2517"/>
      <c r="Y48" s="2517"/>
      <c r="Z48" s="1179"/>
      <c r="AA48" s="1180"/>
      <c r="AB48" s="1245" t="s">
        <v>1307</v>
      </c>
      <c r="AC48" s="1184"/>
      <c r="AD48" s="1184"/>
      <c r="AE48" s="1186"/>
      <c r="AF48" s="2510"/>
      <c r="AG48" s="2511"/>
      <c r="AH48" s="2511"/>
      <c r="AI48" s="2510"/>
      <c r="AJ48" s="2511"/>
      <c r="AK48" s="2511"/>
      <c r="AL48" s="1992"/>
      <c r="AM48" s="1827"/>
      <c r="AN48" s="1827"/>
      <c r="AO48" s="1827"/>
      <c r="AP48" s="1827"/>
      <c r="AQ48" s="1827"/>
      <c r="AR48" s="1827"/>
      <c r="AS48" s="1827"/>
      <c r="AT48" s="1827"/>
      <c r="AU48" s="1827"/>
      <c r="AV48" s="1827"/>
      <c r="AW48" s="1827"/>
      <c r="AX48" s="1827"/>
      <c r="AY48" s="1827"/>
      <c r="AZ48" s="1827"/>
      <c r="BA48" s="1827"/>
      <c r="BB48" s="1827"/>
      <c r="BC48" s="1827"/>
      <c r="BD48" s="1827"/>
      <c r="BE48" s="1827"/>
      <c r="BF48" s="1827"/>
      <c r="BG48" s="1639"/>
    </row>
    <row customHeight="1" ht="11.25">
      <c r="A49" s="1170" t="s">
        <v>1261</v>
      </c>
      <c r="B49" s="1170"/>
      <c r="C49" s="1170"/>
      <c r="D49" s="1164"/>
      <c r="E49" s="1174"/>
      <c r="F49" s="1833"/>
      <c r="G49" s="1834"/>
      <c r="H49" s="2519" t="s">
        <v>91</v>
      </c>
      <c r="I49" s="2520"/>
      <c r="J49" s="2938"/>
      <c r="K49" s="2521"/>
      <c r="L49" s="2111"/>
      <c r="M49" s="2112"/>
      <c r="N49" s="1179"/>
      <c r="O49" s="1180"/>
      <c r="P49" s="1172" t="s">
        <v>1308</v>
      </c>
      <c r="Q49" s="1180"/>
      <c r="R49" s="1180"/>
      <c r="S49" s="1180"/>
      <c r="T49" s="1180"/>
      <c r="U49" s="1180"/>
      <c r="V49" s="1180"/>
      <c r="W49" s="1180"/>
      <c r="X49" s="1180"/>
      <c r="Y49" s="1180"/>
      <c r="Z49" s="1180"/>
      <c r="AA49" s="1180"/>
      <c r="AB49" s="1180"/>
      <c r="AC49" s="1180"/>
      <c r="AD49" s="1180"/>
      <c r="AE49" s="1187"/>
      <c r="AF49" s="2510"/>
      <c r="AG49" s="2511"/>
      <c r="AH49" s="2511"/>
      <c r="AI49" s="2510"/>
      <c r="AJ49" s="2511"/>
      <c r="AK49" s="2511"/>
      <c r="AL49" s="1992"/>
      <c r="AM49" s="1827"/>
      <c r="AN49" s="1827"/>
      <c r="AO49" s="1827"/>
      <c r="AP49" s="1827"/>
      <c r="AQ49" s="1827"/>
      <c r="AR49" s="1827"/>
      <c r="AS49" s="1827"/>
      <c r="AT49" s="1827"/>
      <c r="AU49" s="1827"/>
      <c r="AV49" s="1827"/>
      <c r="AW49" s="1827"/>
      <c r="AX49" s="1827"/>
      <c r="AY49" s="1827"/>
      <c r="AZ49" s="1827"/>
      <c r="BA49" s="1827"/>
      <c r="BB49" s="1827"/>
      <c r="BC49" s="1827"/>
      <c r="BD49" s="1827"/>
      <c r="BE49" s="1827"/>
      <c r="BF49" s="1827"/>
      <c r="BG49" s="1639"/>
    </row>
    <row customHeight="1" ht="15">
      <c r="A50" s="1170" t="s">
        <v>1261</v>
      </c>
      <c r="B50" s="1170" t="s">
        <v>22</v>
      </c>
      <c r="C50" s="1170"/>
      <c r="D50" s="1164"/>
      <c r="E50" s="1174"/>
      <c r="F50" s="1833"/>
      <c r="G50" s="687" t="s">
        <v>104</v>
      </c>
      <c r="H50" s="2519" t="s">
        <v>92</v>
      </c>
      <c r="I50" s="2520" t="s">
        <v>1315</v>
      </c>
      <c r="J50" s="2938" t="s">
        <v>22</v>
      </c>
      <c r="K50" s="2521"/>
      <c r="L50" s="2111" t="s">
        <v>19</v>
      </c>
      <c r="M50" s="2112"/>
      <c r="N50" s="1990"/>
      <c r="O50" s="1181" t="s">
        <v>394</v>
      </c>
      <c r="P50" s="1182"/>
      <c r="Q50" s="1182"/>
      <c r="R50" s="1182"/>
      <c r="S50" s="1182"/>
      <c r="T50" s="1182"/>
      <c r="U50" s="1182"/>
      <c r="V50" s="1182"/>
      <c r="W50" s="1182"/>
      <c r="X50" s="1182"/>
      <c r="Y50" s="1182"/>
      <c r="Z50" s="1182"/>
      <c r="AA50" s="1182"/>
      <c r="AB50" s="1182"/>
      <c r="AC50" s="1182"/>
      <c r="AD50" s="1182"/>
      <c r="AE50" s="1182"/>
      <c r="AF50" s="2510">
        <v>25</v>
      </c>
      <c r="AG50" s="2511" t="s">
        <v>1304</v>
      </c>
      <c r="AH50" s="2511" t="s">
        <v>1316</v>
      </c>
      <c r="AI50" s="2510">
        <v>0</v>
      </c>
      <c r="AJ50" s="2511" t="s">
        <v>1304</v>
      </c>
      <c r="AK50" s="2511" t="s">
        <v>1316</v>
      </c>
      <c r="AL50" s="1992"/>
      <c r="AM50" s="1827"/>
      <c r="AN50" s="1827"/>
      <c r="AO50" s="1827"/>
      <c r="AP50" s="1827"/>
      <c r="AQ50" s="1827"/>
      <c r="AR50" s="1827"/>
      <c r="AS50" s="1827"/>
      <c r="AT50" s="1827"/>
      <c r="AU50" s="1827"/>
      <c r="AV50" s="1827"/>
      <c r="AW50" s="1827"/>
      <c r="AX50" s="1827"/>
      <c r="AY50" s="1827"/>
      <c r="AZ50" s="1827"/>
      <c r="BA50" s="1827"/>
      <c r="BB50" s="1827"/>
      <c r="BC50" s="1827"/>
      <c r="BD50" s="1827"/>
      <c r="BE50" s="1827"/>
      <c r="BF50" s="1827"/>
      <c r="BG50" s="1639"/>
    </row>
    <row customHeight="1" ht="12.75">
      <c r="A51" s="1170" t="s">
        <v>1261</v>
      </c>
      <c r="B51" s="1170"/>
      <c r="C51" s="1170"/>
      <c r="D51" s="1164"/>
      <c r="E51" s="1174"/>
      <c r="F51" s="1833"/>
      <c r="G51" s="1834"/>
      <c r="H51" s="2519" t="s">
        <v>120</v>
      </c>
      <c r="I51" s="2520"/>
      <c r="J51" s="2938"/>
      <c r="K51" s="2521"/>
      <c r="L51" s="2111"/>
      <c r="M51" s="2112"/>
      <c r="N51" s="2512"/>
      <c r="O51" s="2513">
        <v>1</v>
      </c>
      <c r="P51" s="2514" t="s">
        <v>19</v>
      </c>
      <c r="Q51" s="2517" t="s">
        <v>22</v>
      </c>
      <c r="R51" s="2517" t="s">
        <v>22</v>
      </c>
      <c r="S51" s="2517" t="s">
        <v>22</v>
      </c>
      <c r="T51" s="2517" t="s">
        <v>22</v>
      </c>
      <c r="U51" s="2517" t="s">
        <v>22</v>
      </c>
      <c r="V51" s="2517" t="s">
        <v>22</v>
      </c>
      <c r="W51" s="2517" t="s">
        <v>22</v>
      </c>
      <c r="X51" s="2517" t="s">
        <v>22</v>
      </c>
      <c r="Y51" s="2517"/>
      <c r="Z51" s="1179"/>
      <c r="AA51" s="1180"/>
      <c r="AB51" s="1180"/>
      <c r="AC51" s="1184"/>
      <c r="AD51" s="1184"/>
      <c r="AE51" s="1185"/>
      <c r="AF51" s="2510"/>
      <c r="AG51" s="2511"/>
      <c r="AH51" s="2511"/>
      <c r="AI51" s="2510"/>
      <c r="AJ51" s="2511"/>
      <c r="AK51" s="2511"/>
      <c r="AL51" s="1992"/>
      <c r="AM51" s="1827"/>
      <c r="AN51" s="1827"/>
      <c r="AO51" s="1827"/>
      <c r="AP51" s="1827"/>
      <c r="AQ51" s="1827"/>
      <c r="AR51" s="1827"/>
      <c r="AS51" s="1827"/>
      <c r="AT51" s="1827"/>
      <c r="AU51" s="1827"/>
      <c r="AV51" s="1827"/>
      <c r="AW51" s="1827"/>
      <c r="AX51" s="1827"/>
      <c r="AY51" s="1827"/>
      <c r="AZ51" s="1827"/>
      <c r="BA51" s="1827"/>
      <c r="BB51" s="1827"/>
      <c r="BC51" s="1827"/>
      <c r="BD51" s="1827"/>
      <c r="BE51" s="1827"/>
      <c r="BF51" s="1827"/>
      <c r="BG51" s="1639"/>
    </row>
    <row customHeight="1" ht="28.5">
      <c r="A52" s="1170" t="s">
        <v>1261</v>
      </c>
      <c r="B52" s="1170"/>
      <c r="C52" s="1170"/>
      <c r="D52" s="1164"/>
      <c r="E52" s="1174"/>
      <c r="F52" s="1833"/>
      <c r="G52" s="1834"/>
      <c r="H52" s="2519" t="s">
        <v>120</v>
      </c>
      <c r="I52" s="2520"/>
      <c r="J52" s="2938"/>
      <c r="K52" s="2521"/>
      <c r="L52" s="2111"/>
      <c r="M52" s="2112"/>
      <c r="N52" s="2512"/>
      <c r="O52" s="2513"/>
      <c r="P52" s="2515"/>
      <c r="Q52" s="2517"/>
      <c r="R52" s="2517"/>
      <c r="S52" s="2518"/>
      <c r="T52" s="2517"/>
      <c r="U52" s="2517"/>
      <c r="V52" s="2517"/>
      <c r="W52" s="2517"/>
      <c r="X52" s="2517"/>
      <c r="Y52" s="2517"/>
      <c r="Z52" s="1832"/>
      <c r="AA52" s="1798">
        <v>1</v>
      </c>
      <c r="AB52" s="1183" t="s">
        <v>1311</v>
      </c>
      <c r="AC52" s="1173">
        <v>232147</v>
      </c>
      <c r="AD52" s="1183" t="str">
        <f>AB52</f>
        <v>      Амортизационные отчисления с выделением результатов переоценки основных средств и нематериальных активов</v>
      </c>
      <c r="AE52" s="1173">
        <v>333159.5</v>
      </c>
      <c r="AF52" s="2510"/>
      <c r="AG52" s="2511"/>
      <c r="AH52" s="2511"/>
      <c r="AI52" s="2510"/>
      <c r="AJ52" s="2511"/>
      <c r="AK52" s="2511"/>
      <c r="AL52" s="1992"/>
      <c r="AM52" s="1827"/>
      <c r="AN52" s="1827"/>
      <c r="AO52" s="1827"/>
      <c r="AP52" s="1827"/>
      <c r="AQ52" s="1827"/>
      <c r="AR52" s="1827"/>
      <c r="AS52" s="1827"/>
      <c r="AT52" s="1827"/>
      <c r="AU52" s="1827"/>
      <c r="AV52" s="1827"/>
      <c r="AW52" s="1827"/>
      <c r="AX52" s="1827"/>
      <c r="AY52" s="1827"/>
      <c r="AZ52" s="1827"/>
      <c r="BA52" s="1827"/>
      <c r="BB52" s="1827"/>
      <c r="BC52" s="1827"/>
      <c r="BD52" s="1827"/>
      <c r="BE52" s="1827"/>
      <c r="BF52" s="1827"/>
      <c r="BG52" s="1639"/>
    </row>
    <row customHeight="1" ht="16.5">
      <c r="A53" s="1170" t="s">
        <v>1261</v>
      </c>
      <c r="B53" s="1170"/>
      <c r="C53" s="1170"/>
      <c r="D53" s="1164"/>
      <c r="E53" s="1174"/>
      <c r="F53" s="1834"/>
      <c r="G53" s="1834"/>
      <c r="H53" s="1834"/>
      <c r="I53" s="1834"/>
      <c r="J53" s="1834"/>
      <c r="K53" s="1834"/>
      <c r="L53" s="1834"/>
      <c r="M53" s="1834"/>
      <c r="N53" s="1834"/>
      <c r="O53" s="1834"/>
      <c r="P53" s="1834"/>
      <c r="Q53" s="1834"/>
      <c r="R53" s="1834"/>
      <c r="S53" s="1834"/>
      <c r="T53" s="1834"/>
      <c r="U53" s="1834"/>
      <c r="V53" s="1834"/>
      <c r="W53" s="1834"/>
      <c r="X53" s="1834"/>
      <c r="Y53" s="1834"/>
      <c r="Z53" s="687" t="s">
        <v>104</v>
      </c>
      <c r="AA53" s="1818" t="s">
        <v>103</v>
      </c>
      <c r="AB53" s="1183" t="s">
        <v>1317</v>
      </c>
      <c r="AC53" s="1173">
        <v>68977.038</v>
      </c>
      <c r="AD53" s="1183" t="str">
        <f>AB53</f>
        <v>  Прибыль направляемая на инвестиции</v>
      </c>
      <c r="AE53" s="1173">
        <v>53339.049</v>
      </c>
      <c r="AF53" s="1835"/>
      <c r="AG53" s="1763"/>
      <c r="AH53" s="1763"/>
      <c r="AI53" s="1835"/>
      <c r="AJ53" s="1763"/>
      <c r="AK53" s="1991"/>
      <c r="AL53" s="1992"/>
      <c r="AM53" s="1827"/>
      <c r="AN53" s="1827"/>
      <c r="AO53" s="1827"/>
      <c r="AP53" s="1827"/>
      <c r="AQ53" s="1827"/>
      <c r="AR53" s="1827"/>
      <c r="AS53" s="1827"/>
      <c r="AT53" s="1827"/>
      <c r="AU53" s="1827"/>
      <c r="AV53" s="1827"/>
      <c r="AW53" s="1827"/>
      <c r="AX53" s="1827"/>
      <c r="AY53" s="1827"/>
      <c r="AZ53" s="1827"/>
      <c r="BA53" s="1827"/>
      <c r="BB53" s="1827"/>
      <c r="BC53" s="1827"/>
      <c r="BD53" s="1827"/>
      <c r="BE53" s="1827"/>
      <c r="BF53" s="1827"/>
      <c r="BG53" s="1639"/>
    </row>
    <row customHeight="1" ht="18">
      <c r="A54" s="1170" t="s">
        <v>1261</v>
      </c>
      <c r="B54" s="1170"/>
      <c r="C54" s="1170"/>
      <c r="D54" s="1164"/>
      <c r="E54" s="1174"/>
      <c r="F54" s="1834"/>
      <c r="G54" s="1834"/>
      <c r="H54" s="1834"/>
      <c r="I54" s="1834"/>
      <c r="J54" s="1834"/>
      <c r="K54" s="1834"/>
      <c r="L54" s="1834"/>
      <c r="M54" s="1834"/>
      <c r="N54" s="1834"/>
      <c r="O54" s="1834"/>
      <c r="P54" s="1834"/>
      <c r="Q54" s="1834"/>
      <c r="R54" s="1834"/>
      <c r="S54" s="1834"/>
      <c r="T54" s="1834"/>
      <c r="U54" s="1834"/>
      <c r="V54" s="1834"/>
      <c r="W54" s="1834"/>
      <c r="X54" s="1834"/>
      <c r="Y54" s="1834"/>
      <c r="Z54" s="687" t="s">
        <v>104</v>
      </c>
      <c r="AA54" s="1818" t="s">
        <v>90</v>
      </c>
      <c r="AB54" s="1183" t="s">
        <v>1312</v>
      </c>
      <c r="AC54" s="1173">
        <v>1386515</v>
      </c>
      <c r="AD54" s="1183" t="str">
        <f>AB54</f>
        <v>      Займы, предоставленные Фондом ЖКХ за счет средств ФНБ</v>
      </c>
      <c r="AE54" s="1173">
        <v>911448.116</v>
      </c>
      <c r="AF54" s="1835"/>
      <c r="AG54" s="1763"/>
      <c r="AH54" s="1763"/>
      <c r="AI54" s="1835"/>
      <c r="AJ54" s="1763"/>
      <c r="AK54" s="1991"/>
      <c r="AL54" s="1992"/>
      <c r="AM54" s="1827"/>
      <c r="AN54" s="1827"/>
      <c r="AO54" s="1827"/>
      <c r="AP54" s="1827"/>
      <c r="AQ54" s="1827"/>
      <c r="AR54" s="1827"/>
      <c r="AS54" s="1827"/>
      <c r="AT54" s="1827"/>
      <c r="AU54" s="1827"/>
      <c r="AV54" s="1827"/>
      <c r="AW54" s="1827"/>
      <c r="AX54" s="1827"/>
      <c r="AY54" s="1827"/>
      <c r="AZ54" s="1827"/>
      <c r="BA54" s="1827"/>
      <c r="BB54" s="1827"/>
      <c r="BC54" s="1827"/>
      <c r="BD54" s="1827"/>
      <c r="BE54" s="1827"/>
      <c r="BF54" s="1827"/>
      <c r="BG54" s="1639"/>
    </row>
    <row customHeight="1" ht="12.75">
      <c r="A55" s="1170" t="s">
        <v>1261</v>
      </c>
      <c r="B55" s="1170"/>
      <c r="C55" s="1170"/>
      <c r="D55" s="1164"/>
      <c r="E55" s="1174"/>
      <c r="F55" s="1834"/>
      <c r="G55" s="1834"/>
      <c r="H55" s="1834"/>
      <c r="I55" s="1834"/>
      <c r="J55" s="1834"/>
      <c r="K55" s="1834"/>
      <c r="L55" s="1834"/>
      <c r="M55" s="1834"/>
      <c r="N55" s="1834"/>
      <c r="O55" s="1834"/>
      <c r="P55" s="1834"/>
      <c r="Q55" s="1834"/>
      <c r="R55" s="1834"/>
      <c r="S55" s="1834"/>
      <c r="T55" s="1834"/>
      <c r="U55" s="1834"/>
      <c r="V55" s="1834"/>
      <c r="W55" s="1834"/>
      <c r="X55" s="1834"/>
      <c r="Y55" s="1834"/>
      <c r="Z55" s="687" t="s">
        <v>104</v>
      </c>
      <c r="AA55" s="1818" t="s">
        <v>91</v>
      </c>
      <c r="AB55" s="1183" t="s">
        <v>1313</v>
      </c>
      <c r="AC55" s="1173">
        <v>578499.252</v>
      </c>
      <c r="AD55" s="1183" t="str">
        <f>AB55</f>
        <v>  Кредиты</v>
      </c>
      <c r="AE55" s="1173">
        <v>420139.003</v>
      </c>
      <c r="AF55" s="1835"/>
      <c r="AG55" s="1763"/>
      <c r="AH55" s="1763"/>
      <c r="AI55" s="1835"/>
      <c r="AJ55" s="1763"/>
      <c r="AK55" s="1991"/>
      <c r="AL55" s="1992"/>
      <c r="AM55" s="1827"/>
      <c r="AN55" s="1827"/>
      <c r="AO55" s="1827"/>
      <c r="AP55" s="1827"/>
      <c r="AQ55" s="1827"/>
      <c r="AR55" s="1827"/>
      <c r="AS55" s="1827"/>
      <c r="AT55" s="1827"/>
      <c r="AU55" s="1827"/>
      <c r="AV55" s="1827"/>
      <c r="AW55" s="1827"/>
      <c r="AX55" s="1827"/>
      <c r="AY55" s="1827"/>
      <c r="AZ55" s="1827"/>
      <c r="BA55" s="1827"/>
      <c r="BB55" s="1827"/>
      <c r="BC55" s="1827"/>
      <c r="BD55" s="1827"/>
      <c r="BE55" s="1827"/>
      <c r="BF55" s="1827"/>
      <c r="BG55" s="1639"/>
    </row>
    <row customHeight="1" ht="18.75">
      <c r="A56" s="1170" t="s">
        <v>1261</v>
      </c>
      <c r="B56" s="1170"/>
      <c r="C56" s="1170"/>
      <c r="D56" s="1164"/>
      <c r="E56" s="1174"/>
      <c r="F56" s="1833"/>
      <c r="G56" s="1834"/>
      <c r="H56" s="2519" t="s">
        <v>120</v>
      </c>
      <c r="I56" s="2520"/>
      <c r="J56" s="2938"/>
      <c r="K56" s="2521"/>
      <c r="L56" s="2111"/>
      <c r="M56" s="2112"/>
      <c r="N56" s="2512"/>
      <c r="O56" s="2513"/>
      <c r="P56" s="2516"/>
      <c r="Q56" s="2517"/>
      <c r="R56" s="2517"/>
      <c r="S56" s="2518"/>
      <c r="T56" s="2517"/>
      <c r="U56" s="2517"/>
      <c r="V56" s="2517"/>
      <c r="W56" s="2517"/>
      <c r="X56" s="2517"/>
      <c r="Y56" s="2517"/>
      <c r="Z56" s="1179"/>
      <c r="AA56" s="1180"/>
      <c r="AB56" s="1245" t="s">
        <v>1307</v>
      </c>
      <c r="AC56" s="1184"/>
      <c r="AD56" s="1184"/>
      <c r="AE56" s="1186"/>
      <c r="AF56" s="2510"/>
      <c r="AG56" s="2511"/>
      <c r="AH56" s="2511"/>
      <c r="AI56" s="2510"/>
      <c r="AJ56" s="2511"/>
      <c r="AK56" s="2511"/>
      <c r="AL56" s="1992"/>
      <c r="AM56" s="1827"/>
      <c r="AN56" s="1827"/>
      <c r="AO56" s="1827"/>
      <c r="AP56" s="1827"/>
      <c r="AQ56" s="1827"/>
      <c r="AR56" s="1827"/>
      <c r="AS56" s="1827"/>
      <c r="AT56" s="1827"/>
      <c r="AU56" s="1827"/>
      <c r="AV56" s="1827"/>
      <c r="AW56" s="1827"/>
      <c r="AX56" s="1827"/>
      <c r="AY56" s="1827"/>
      <c r="AZ56" s="1827"/>
      <c r="BA56" s="1827"/>
      <c r="BB56" s="1827"/>
      <c r="BC56" s="1827"/>
      <c r="BD56" s="1827"/>
      <c r="BE56" s="1827"/>
      <c r="BF56" s="1827"/>
      <c r="BG56" s="1639"/>
    </row>
    <row customHeight="1" ht="15">
      <c r="A57" s="1170" t="s">
        <v>1261</v>
      </c>
      <c r="B57" s="1170"/>
      <c r="C57" s="1170"/>
      <c r="D57" s="1164"/>
      <c r="E57" s="1174"/>
      <c r="F57" s="1833"/>
      <c r="G57" s="1834"/>
      <c r="H57" s="2519" t="s">
        <v>120</v>
      </c>
      <c r="I57" s="2520"/>
      <c r="J57" s="2938"/>
      <c r="K57" s="2521"/>
      <c r="L57" s="2111"/>
      <c r="M57" s="2112"/>
      <c r="N57" s="1179"/>
      <c r="O57" s="1180"/>
      <c r="P57" s="1172" t="s">
        <v>1308</v>
      </c>
      <c r="Q57" s="1180"/>
      <c r="R57" s="1180"/>
      <c r="S57" s="1180"/>
      <c r="T57" s="1180"/>
      <c r="U57" s="1180"/>
      <c r="V57" s="1180"/>
      <c r="W57" s="1180"/>
      <c r="X57" s="1180"/>
      <c r="Y57" s="1180"/>
      <c r="Z57" s="1180"/>
      <c r="AA57" s="1180"/>
      <c r="AB57" s="1180"/>
      <c r="AC57" s="1180"/>
      <c r="AD57" s="1180"/>
      <c r="AE57" s="1187"/>
      <c r="AF57" s="2510"/>
      <c r="AG57" s="2511"/>
      <c r="AH57" s="2511"/>
      <c r="AI57" s="2510"/>
      <c r="AJ57" s="2511"/>
      <c r="AK57" s="2511"/>
      <c r="AL57" s="1992"/>
      <c r="AM57" s="1827"/>
      <c r="AN57" s="1827"/>
      <c r="AO57" s="1827"/>
      <c r="AP57" s="1827"/>
      <c r="AQ57" s="1827"/>
      <c r="AR57" s="1827"/>
      <c r="AS57" s="1827"/>
      <c r="AT57" s="1827"/>
      <c r="AU57" s="1827"/>
      <c r="AV57" s="1827"/>
      <c r="AW57" s="1827"/>
      <c r="AX57" s="1827"/>
      <c r="AY57" s="1827"/>
      <c r="AZ57" s="1827"/>
      <c r="BA57" s="1827"/>
      <c r="BB57" s="1827"/>
      <c r="BC57" s="1827"/>
      <c r="BD57" s="1827"/>
      <c r="BE57" s="1827"/>
      <c r="BF57" s="1827"/>
      <c r="BG57" s="1639"/>
    </row>
    <row customHeight="1" ht="11.25">
      <c r="A58" s="1170" t="s">
        <v>1261</v>
      </c>
      <c r="B58" s="1170" t="s">
        <v>22</v>
      </c>
      <c r="C58" s="1170"/>
      <c r="D58" s="1164"/>
      <c r="E58" s="1174"/>
      <c r="F58" s="1833"/>
      <c r="G58" s="687" t="s">
        <v>104</v>
      </c>
      <c r="H58" s="2519" t="s">
        <v>93</v>
      </c>
      <c r="I58" s="2520" t="s">
        <v>1315</v>
      </c>
      <c r="J58" s="2938" t="s">
        <v>22</v>
      </c>
      <c r="K58" s="2521"/>
      <c r="L58" s="2111" t="s">
        <v>19</v>
      </c>
      <c r="M58" s="2112"/>
      <c r="N58" s="1990"/>
      <c r="O58" s="1181" t="s">
        <v>394</v>
      </c>
      <c r="P58" s="1182"/>
      <c r="Q58" s="1182"/>
      <c r="R58" s="1182"/>
      <c r="S58" s="1182"/>
      <c r="T58" s="1182"/>
      <c r="U58" s="1182"/>
      <c r="V58" s="1182"/>
      <c r="W58" s="1182"/>
      <c r="X58" s="1182"/>
      <c r="Y58" s="1182"/>
      <c r="Z58" s="1182"/>
      <c r="AA58" s="1182"/>
      <c r="AB58" s="1182"/>
      <c r="AC58" s="1182"/>
      <c r="AD58" s="1182"/>
      <c r="AE58" s="1182"/>
      <c r="AF58" s="2510">
        <v>17</v>
      </c>
      <c r="AG58" s="2511" t="s">
        <v>1304</v>
      </c>
      <c r="AH58" s="2511" t="s">
        <v>1318</v>
      </c>
      <c r="AI58" s="2510">
        <v>0</v>
      </c>
      <c r="AJ58" s="2511" t="s">
        <v>1304</v>
      </c>
      <c r="AK58" s="2511" t="s">
        <v>1318</v>
      </c>
      <c r="AL58" s="1992"/>
      <c r="AM58" s="1827"/>
      <c r="AN58" s="1827"/>
      <c r="AO58" s="1827"/>
      <c r="AP58" s="1827"/>
      <c r="AQ58" s="1827"/>
      <c r="AR58" s="1827"/>
      <c r="AS58" s="1827"/>
      <c r="AT58" s="1827"/>
      <c r="AU58" s="1827"/>
      <c r="AV58" s="1827"/>
      <c r="AW58" s="1827"/>
      <c r="AX58" s="1827"/>
      <c r="AY58" s="1827"/>
      <c r="AZ58" s="1827"/>
      <c r="BA58" s="1827"/>
      <c r="BB58" s="1827"/>
      <c r="BC58" s="1827"/>
      <c r="BD58" s="1827"/>
      <c r="BE58" s="1827"/>
      <c r="BF58" s="1827"/>
      <c r="BG58" s="1639"/>
    </row>
    <row customHeight="1" ht="11.25">
      <c r="A59" s="1170" t="s">
        <v>1261</v>
      </c>
      <c r="B59" s="1170"/>
      <c r="C59" s="1170"/>
      <c r="D59" s="1164"/>
      <c r="E59" s="1174"/>
      <c r="F59" s="1833"/>
      <c r="G59" s="1834"/>
      <c r="H59" s="2519" t="s">
        <v>92</v>
      </c>
      <c r="I59" s="2520"/>
      <c r="J59" s="2938"/>
      <c r="K59" s="2521"/>
      <c r="L59" s="2111"/>
      <c r="M59" s="2112"/>
      <c r="N59" s="2512"/>
      <c r="O59" s="2513">
        <v>1</v>
      </c>
      <c r="P59" s="2514" t="s">
        <v>19</v>
      </c>
      <c r="Q59" s="2517" t="s">
        <v>22</v>
      </c>
      <c r="R59" s="2517" t="s">
        <v>22</v>
      </c>
      <c r="S59" s="2517" t="s">
        <v>22</v>
      </c>
      <c r="T59" s="2517" t="s">
        <v>22</v>
      </c>
      <c r="U59" s="2517" t="s">
        <v>22</v>
      </c>
      <c r="V59" s="2517" t="s">
        <v>22</v>
      </c>
      <c r="W59" s="2517" t="s">
        <v>22</v>
      </c>
      <c r="X59" s="2517" t="s">
        <v>22</v>
      </c>
      <c r="Y59" s="2517"/>
      <c r="Z59" s="1179"/>
      <c r="AA59" s="1180"/>
      <c r="AB59" s="1180"/>
      <c r="AC59" s="1184"/>
      <c r="AD59" s="1184"/>
      <c r="AE59" s="1185"/>
      <c r="AF59" s="2510"/>
      <c r="AG59" s="2511"/>
      <c r="AH59" s="2511"/>
      <c r="AI59" s="2510"/>
      <c r="AJ59" s="2511"/>
      <c r="AK59" s="2511"/>
      <c r="AL59" s="1992"/>
      <c r="AM59" s="1827"/>
      <c r="AN59" s="1827"/>
      <c r="AO59" s="1827"/>
      <c r="AP59" s="1827"/>
      <c r="AQ59" s="1827"/>
      <c r="AR59" s="1827"/>
      <c r="AS59" s="1827"/>
      <c r="AT59" s="1827"/>
      <c r="AU59" s="1827"/>
      <c r="AV59" s="1827"/>
      <c r="AW59" s="1827"/>
      <c r="AX59" s="1827"/>
      <c r="AY59" s="1827"/>
      <c r="AZ59" s="1827"/>
      <c r="BA59" s="1827"/>
      <c r="BB59" s="1827"/>
      <c r="BC59" s="1827"/>
      <c r="BD59" s="1827"/>
      <c r="BE59" s="1827"/>
      <c r="BF59" s="1827"/>
      <c r="BG59" s="1639"/>
    </row>
    <row customHeight="1" ht="15.75">
      <c r="A60" s="1170" t="s">
        <v>1261</v>
      </c>
      <c r="B60" s="1170"/>
      <c r="C60" s="1170"/>
      <c r="D60" s="1164"/>
      <c r="E60" s="1174"/>
      <c r="F60" s="1833"/>
      <c r="G60" s="1834"/>
      <c r="H60" s="2519" t="s">
        <v>92</v>
      </c>
      <c r="I60" s="2520"/>
      <c r="J60" s="2938"/>
      <c r="K60" s="2521"/>
      <c r="L60" s="2111"/>
      <c r="M60" s="2112"/>
      <c r="N60" s="2512"/>
      <c r="O60" s="2513"/>
      <c r="P60" s="2515"/>
      <c r="Q60" s="2517"/>
      <c r="R60" s="2517"/>
      <c r="S60" s="2518"/>
      <c r="T60" s="2517"/>
      <c r="U60" s="2517"/>
      <c r="V60" s="2517"/>
      <c r="W60" s="2517"/>
      <c r="X60" s="2517"/>
      <c r="Y60" s="2517"/>
      <c r="Z60" s="1832"/>
      <c r="AA60" s="1798">
        <v>1</v>
      </c>
      <c r="AB60" s="1183" t="s">
        <v>1313</v>
      </c>
      <c r="AC60" s="1173">
        <v>14256.394</v>
      </c>
      <c r="AD60" s="1183" t="str">
        <f>AB60</f>
        <v>  Кредиты</v>
      </c>
      <c r="AE60" s="1173">
        <v>8600.574</v>
      </c>
      <c r="AF60" s="2510"/>
      <c r="AG60" s="2511"/>
      <c r="AH60" s="2511"/>
      <c r="AI60" s="2510"/>
      <c r="AJ60" s="2511"/>
      <c r="AK60" s="2511"/>
      <c r="AL60" s="1992"/>
      <c r="AM60" s="1827"/>
      <c r="AN60" s="1827"/>
      <c r="AO60" s="1827"/>
      <c r="AP60" s="1827"/>
      <c r="AQ60" s="1827"/>
      <c r="AR60" s="1827"/>
      <c r="AS60" s="1827"/>
      <c r="AT60" s="1827"/>
      <c r="AU60" s="1827"/>
      <c r="AV60" s="1827"/>
      <c r="AW60" s="1827"/>
      <c r="AX60" s="1827"/>
      <c r="AY60" s="1827"/>
      <c r="AZ60" s="1827"/>
      <c r="BA60" s="1827"/>
      <c r="BB60" s="1827"/>
      <c r="BC60" s="1827"/>
      <c r="BD60" s="1827"/>
      <c r="BE60" s="1827"/>
      <c r="BF60" s="1827"/>
      <c r="BG60" s="1639"/>
    </row>
    <row customHeight="1" ht="11.25">
      <c r="A61" s="1170" t="s">
        <v>1261</v>
      </c>
      <c r="B61" s="1170"/>
      <c r="C61" s="1170"/>
      <c r="D61" s="1164"/>
      <c r="E61" s="1174"/>
      <c r="F61" s="1833"/>
      <c r="G61" s="1834"/>
      <c r="H61" s="2519" t="s">
        <v>92</v>
      </c>
      <c r="I61" s="2520"/>
      <c r="J61" s="2938"/>
      <c r="K61" s="2521"/>
      <c r="L61" s="2111"/>
      <c r="M61" s="2112"/>
      <c r="N61" s="2512"/>
      <c r="O61" s="2513"/>
      <c r="P61" s="2516"/>
      <c r="Q61" s="2517"/>
      <c r="R61" s="2517"/>
      <c r="S61" s="2518"/>
      <c r="T61" s="2517"/>
      <c r="U61" s="2517"/>
      <c r="V61" s="2517"/>
      <c r="W61" s="2517"/>
      <c r="X61" s="2517"/>
      <c r="Y61" s="2517"/>
      <c r="Z61" s="1179"/>
      <c r="AA61" s="1180"/>
      <c r="AB61" s="1245" t="s">
        <v>1307</v>
      </c>
      <c r="AC61" s="1184"/>
      <c r="AD61" s="1184"/>
      <c r="AE61" s="1186"/>
      <c r="AF61" s="2510"/>
      <c r="AG61" s="2511"/>
      <c r="AH61" s="2511"/>
      <c r="AI61" s="2510"/>
      <c r="AJ61" s="2511"/>
      <c r="AK61" s="2511"/>
      <c r="AL61" s="1992"/>
      <c r="AM61" s="1827"/>
      <c r="AN61" s="1827"/>
      <c r="AO61" s="1827"/>
      <c r="AP61" s="1827"/>
      <c r="AQ61" s="1827"/>
      <c r="AR61" s="1827"/>
      <c r="AS61" s="1827"/>
      <c r="AT61" s="1827"/>
      <c r="AU61" s="1827"/>
      <c r="AV61" s="1827"/>
      <c r="AW61" s="1827"/>
      <c r="AX61" s="1827"/>
      <c r="AY61" s="1827"/>
      <c r="AZ61" s="1827"/>
      <c r="BA61" s="1827"/>
      <c r="BB61" s="1827"/>
      <c r="BC61" s="1827"/>
      <c r="BD61" s="1827"/>
      <c r="BE61" s="1827"/>
      <c r="BF61" s="1827"/>
      <c r="BG61" s="1639"/>
    </row>
    <row customHeight="1" ht="11.25">
      <c r="A62" s="1170" t="s">
        <v>1261</v>
      </c>
      <c r="B62" s="1170"/>
      <c r="C62" s="1170"/>
      <c r="D62" s="1164"/>
      <c r="E62" s="1174"/>
      <c r="F62" s="1833"/>
      <c r="G62" s="1834"/>
      <c r="H62" s="2519" t="s">
        <v>92</v>
      </c>
      <c r="I62" s="2520"/>
      <c r="J62" s="2938"/>
      <c r="K62" s="2521"/>
      <c r="L62" s="2111"/>
      <c r="M62" s="2112"/>
      <c r="N62" s="1179"/>
      <c r="O62" s="1180"/>
      <c r="P62" s="1172" t="s">
        <v>1308</v>
      </c>
      <c r="Q62" s="1180"/>
      <c r="R62" s="1180"/>
      <c r="S62" s="1180"/>
      <c r="T62" s="1180"/>
      <c r="U62" s="1180"/>
      <c r="V62" s="1180"/>
      <c r="W62" s="1180"/>
      <c r="X62" s="1180"/>
      <c r="Y62" s="1180"/>
      <c r="Z62" s="1180"/>
      <c r="AA62" s="1180"/>
      <c r="AB62" s="1180"/>
      <c r="AC62" s="1180"/>
      <c r="AD62" s="1180"/>
      <c r="AE62" s="1187"/>
      <c r="AF62" s="2510"/>
      <c r="AG62" s="2511"/>
      <c r="AH62" s="2511"/>
      <c r="AI62" s="2510"/>
      <c r="AJ62" s="2511"/>
      <c r="AK62" s="2511"/>
      <c r="AL62" s="1992"/>
      <c r="AM62" s="1827"/>
      <c r="AN62" s="1827"/>
      <c r="AO62" s="1827"/>
      <c r="AP62" s="1827"/>
      <c r="AQ62" s="1827"/>
      <c r="AR62" s="1827"/>
      <c r="AS62" s="1827"/>
      <c r="AT62" s="1827"/>
      <c r="AU62" s="1827"/>
      <c r="AV62" s="1827"/>
      <c r="AW62" s="1827"/>
      <c r="AX62" s="1827"/>
      <c r="AY62" s="1827"/>
      <c r="AZ62" s="1827"/>
      <c r="BA62" s="1827"/>
      <c r="BB62" s="1827"/>
      <c r="BC62" s="1827"/>
      <c r="BD62" s="1827"/>
      <c r="BE62" s="1827"/>
      <c r="BF62" s="1827"/>
      <c r="BG62" s="1639"/>
    </row>
    <row customHeight="1" ht="11.25">
      <c r="A63" s="1170" t="s">
        <v>1261</v>
      </c>
      <c r="B63" s="1170" t="s">
        <v>22</v>
      </c>
      <c r="C63" s="1170"/>
      <c r="D63" s="1164"/>
      <c r="E63" s="1174"/>
      <c r="F63" s="1833"/>
      <c r="G63" s="687" t="s">
        <v>104</v>
      </c>
      <c r="H63" s="2519" t="s">
        <v>121</v>
      </c>
      <c r="I63" s="2520" t="s">
        <v>1315</v>
      </c>
      <c r="J63" s="2938" t="s">
        <v>22</v>
      </c>
      <c r="K63" s="2521"/>
      <c r="L63" s="2111" t="s">
        <v>19</v>
      </c>
      <c r="M63" s="2112"/>
      <c r="N63" s="1990"/>
      <c r="O63" s="1181" t="s">
        <v>394</v>
      </c>
      <c r="P63" s="1182"/>
      <c r="Q63" s="1182"/>
      <c r="R63" s="1182"/>
      <c r="S63" s="1182"/>
      <c r="T63" s="1182"/>
      <c r="U63" s="1182"/>
      <c r="V63" s="1182"/>
      <c r="W63" s="1182"/>
      <c r="X63" s="1182"/>
      <c r="Y63" s="1182"/>
      <c r="Z63" s="1182"/>
      <c r="AA63" s="1182"/>
      <c r="AB63" s="1182"/>
      <c r="AC63" s="1182"/>
      <c r="AD63" s="1182"/>
      <c r="AE63" s="1182"/>
      <c r="AF63" s="2510">
        <v>25</v>
      </c>
      <c r="AG63" s="2511" t="s">
        <v>1304</v>
      </c>
      <c r="AH63" s="2511" t="s">
        <v>1316</v>
      </c>
      <c r="AI63" s="2510">
        <v>0</v>
      </c>
      <c r="AJ63" s="2511" t="s">
        <v>1304</v>
      </c>
      <c r="AK63" s="2511" t="s">
        <v>1316</v>
      </c>
      <c r="AL63" s="1992"/>
      <c r="AM63" s="1827"/>
      <c r="AN63" s="1827"/>
      <c r="AO63" s="1827"/>
      <c r="AP63" s="1827"/>
      <c r="AQ63" s="1827"/>
      <c r="AR63" s="1827"/>
      <c r="AS63" s="1827"/>
      <c r="AT63" s="1827"/>
      <c r="AU63" s="1827"/>
      <c r="AV63" s="1827"/>
      <c r="AW63" s="1827"/>
      <c r="AX63" s="1827"/>
      <c r="AY63" s="1827"/>
      <c r="AZ63" s="1827"/>
      <c r="BA63" s="1827"/>
      <c r="BB63" s="1827"/>
      <c r="BC63" s="1827"/>
      <c r="BD63" s="1827"/>
      <c r="BE63" s="1827"/>
      <c r="BF63" s="1827"/>
      <c r="BG63" s="1639"/>
    </row>
    <row customHeight="1" ht="11.25">
      <c r="A64" s="1170" t="s">
        <v>1261</v>
      </c>
      <c r="B64" s="1170"/>
      <c r="C64" s="1170"/>
      <c r="D64" s="1164"/>
      <c r="E64" s="1174"/>
      <c r="F64" s="1833"/>
      <c r="G64" s="1834"/>
      <c r="H64" s="2519" t="s">
        <v>93</v>
      </c>
      <c r="I64" s="2520"/>
      <c r="J64" s="2938"/>
      <c r="K64" s="2521"/>
      <c r="L64" s="2111"/>
      <c r="M64" s="2112"/>
      <c r="N64" s="2512"/>
      <c r="O64" s="2513">
        <v>1</v>
      </c>
      <c r="P64" s="2514" t="s">
        <v>19</v>
      </c>
      <c r="Q64" s="2517" t="s">
        <v>22</v>
      </c>
      <c r="R64" s="2517" t="s">
        <v>22</v>
      </c>
      <c r="S64" s="2517" t="s">
        <v>22</v>
      </c>
      <c r="T64" s="2517" t="s">
        <v>22</v>
      </c>
      <c r="U64" s="2517" t="s">
        <v>22</v>
      </c>
      <c r="V64" s="2517" t="s">
        <v>22</v>
      </c>
      <c r="W64" s="2517" t="s">
        <v>22</v>
      </c>
      <c r="X64" s="2517" t="s">
        <v>22</v>
      </c>
      <c r="Y64" s="2517"/>
      <c r="Z64" s="1179"/>
      <c r="AA64" s="1180"/>
      <c r="AB64" s="1180"/>
      <c r="AC64" s="1184"/>
      <c r="AD64" s="1184"/>
      <c r="AE64" s="1185"/>
      <c r="AF64" s="2510"/>
      <c r="AG64" s="2511"/>
      <c r="AH64" s="2511"/>
      <c r="AI64" s="2510"/>
      <c r="AJ64" s="2511"/>
      <c r="AK64" s="2511"/>
      <c r="AL64" s="1992"/>
      <c r="AM64" s="1827"/>
      <c r="AN64" s="1827"/>
      <c r="AO64" s="1827"/>
      <c r="AP64" s="1827"/>
      <c r="AQ64" s="1827"/>
      <c r="AR64" s="1827"/>
      <c r="AS64" s="1827"/>
      <c r="AT64" s="1827"/>
      <c r="AU64" s="1827"/>
      <c r="AV64" s="1827"/>
      <c r="AW64" s="1827"/>
      <c r="AX64" s="1827"/>
      <c r="AY64" s="1827"/>
      <c r="AZ64" s="1827"/>
      <c r="BA64" s="1827"/>
      <c r="BB64" s="1827"/>
      <c r="BC64" s="1827"/>
      <c r="BD64" s="1827"/>
      <c r="BE64" s="1827"/>
      <c r="BF64" s="1827"/>
      <c r="BG64" s="1639"/>
    </row>
    <row customHeight="1" ht="18.75">
      <c r="A65" s="1170" t="s">
        <v>1261</v>
      </c>
      <c r="B65" s="1170"/>
      <c r="C65" s="1170"/>
      <c r="D65" s="1164"/>
      <c r="E65" s="1174"/>
      <c r="F65" s="1833"/>
      <c r="G65" s="1834"/>
      <c r="H65" s="2519" t="s">
        <v>93</v>
      </c>
      <c r="I65" s="2520"/>
      <c r="J65" s="2938"/>
      <c r="K65" s="2521"/>
      <c r="L65" s="2111"/>
      <c r="M65" s="2112"/>
      <c r="N65" s="2512"/>
      <c r="O65" s="2513"/>
      <c r="P65" s="2515"/>
      <c r="Q65" s="2517"/>
      <c r="R65" s="2517"/>
      <c r="S65" s="2518"/>
      <c r="T65" s="2517"/>
      <c r="U65" s="2517"/>
      <c r="V65" s="2517"/>
      <c r="W65" s="2517"/>
      <c r="X65" s="2517"/>
      <c r="Y65" s="2517"/>
      <c r="Z65" s="1832"/>
      <c r="AA65" s="1798">
        <v>1</v>
      </c>
      <c r="AB65" s="1183" t="s">
        <v>1313</v>
      </c>
      <c r="AC65" s="1173">
        <v>49754.742</v>
      </c>
      <c r="AD65" s="1183" t="str">
        <f>AB65</f>
        <v>  Кредиты</v>
      </c>
      <c r="AE65" s="1173">
        <v>42265.031</v>
      </c>
      <c r="AF65" s="2510"/>
      <c r="AG65" s="2511"/>
      <c r="AH65" s="2511"/>
      <c r="AI65" s="2510"/>
      <c r="AJ65" s="2511"/>
      <c r="AK65" s="2511"/>
      <c r="AL65" s="1992"/>
      <c r="AM65" s="1827"/>
      <c r="AN65" s="1827"/>
      <c r="AO65" s="1827"/>
      <c r="AP65" s="1827"/>
      <c r="AQ65" s="1827"/>
      <c r="AR65" s="1827"/>
      <c r="AS65" s="1827"/>
      <c r="AT65" s="1827"/>
      <c r="AU65" s="1827"/>
      <c r="AV65" s="1827"/>
      <c r="AW65" s="1827"/>
      <c r="AX65" s="1827"/>
      <c r="AY65" s="1827"/>
      <c r="AZ65" s="1827"/>
      <c r="BA65" s="1827"/>
      <c r="BB65" s="1827"/>
      <c r="BC65" s="1827"/>
      <c r="BD65" s="1827"/>
      <c r="BE65" s="1827"/>
      <c r="BF65" s="1827"/>
      <c r="BG65" s="1639"/>
    </row>
    <row customHeight="1" ht="11.25">
      <c r="A66" s="1170" t="s">
        <v>1261</v>
      </c>
      <c r="B66" s="1170"/>
      <c r="C66" s="1170"/>
      <c r="D66" s="1164"/>
      <c r="E66" s="1174"/>
      <c r="F66" s="1833"/>
      <c r="G66" s="1834"/>
      <c r="H66" s="2519" t="s">
        <v>93</v>
      </c>
      <c r="I66" s="2520"/>
      <c r="J66" s="2938"/>
      <c r="K66" s="2521"/>
      <c r="L66" s="2111"/>
      <c r="M66" s="2112"/>
      <c r="N66" s="2512"/>
      <c r="O66" s="2513"/>
      <c r="P66" s="2516"/>
      <c r="Q66" s="2517"/>
      <c r="R66" s="2517"/>
      <c r="S66" s="2518"/>
      <c r="T66" s="2517"/>
      <c r="U66" s="2517"/>
      <c r="V66" s="2517"/>
      <c r="W66" s="2517"/>
      <c r="X66" s="2517"/>
      <c r="Y66" s="2517"/>
      <c r="Z66" s="1179"/>
      <c r="AA66" s="1180"/>
      <c r="AB66" s="1245" t="s">
        <v>1307</v>
      </c>
      <c r="AC66" s="1184"/>
      <c r="AD66" s="1184"/>
      <c r="AE66" s="1186"/>
      <c r="AF66" s="2510"/>
      <c r="AG66" s="2511"/>
      <c r="AH66" s="2511"/>
      <c r="AI66" s="2510"/>
      <c r="AJ66" s="2511"/>
      <c r="AK66" s="2511"/>
      <c r="AL66" s="1992"/>
      <c r="AM66" s="1827"/>
      <c r="AN66" s="1827"/>
      <c r="AO66" s="1827"/>
      <c r="AP66" s="1827"/>
      <c r="AQ66" s="1827"/>
      <c r="AR66" s="1827"/>
      <c r="AS66" s="1827"/>
      <c r="AT66" s="1827"/>
      <c r="AU66" s="1827"/>
      <c r="AV66" s="1827"/>
      <c r="AW66" s="1827"/>
      <c r="AX66" s="1827"/>
      <c r="AY66" s="1827"/>
      <c r="AZ66" s="1827"/>
      <c r="BA66" s="1827"/>
      <c r="BB66" s="1827"/>
      <c r="BC66" s="1827"/>
      <c r="BD66" s="1827"/>
      <c r="BE66" s="1827"/>
      <c r="BF66" s="1827"/>
      <c r="BG66" s="1639"/>
    </row>
    <row customHeight="1" ht="11.25">
      <c r="A67" s="1170" t="s">
        <v>1261</v>
      </c>
      <c r="B67" s="1170"/>
      <c r="C67" s="1170"/>
      <c r="D67" s="1164"/>
      <c r="E67" s="1174"/>
      <c r="F67" s="1833"/>
      <c r="G67" s="1834"/>
      <c r="H67" s="2519" t="s">
        <v>93</v>
      </c>
      <c r="I67" s="2520"/>
      <c r="J67" s="2938"/>
      <c r="K67" s="2521"/>
      <c r="L67" s="2111"/>
      <c r="M67" s="2112"/>
      <c r="N67" s="1179"/>
      <c r="O67" s="1180"/>
      <c r="P67" s="1172" t="s">
        <v>1308</v>
      </c>
      <c r="Q67" s="1180"/>
      <c r="R67" s="1180"/>
      <c r="S67" s="1180"/>
      <c r="T67" s="1180"/>
      <c r="U67" s="1180"/>
      <c r="V67" s="1180"/>
      <c r="W67" s="1180"/>
      <c r="X67" s="1180"/>
      <c r="Y67" s="1180"/>
      <c r="Z67" s="1180"/>
      <c r="AA67" s="1180"/>
      <c r="AB67" s="1180"/>
      <c r="AC67" s="1180"/>
      <c r="AD67" s="1180"/>
      <c r="AE67" s="1187"/>
      <c r="AF67" s="2510"/>
      <c r="AG67" s="2511"/>
      <c r="AH67" s="2511"/>
      <c r="AI67" s="2510"/>
      <c r="AJ67" s="2511"/>
      <c r="AK67" s="2511"/>
      <c r="AL67" s="1992"/>
      <c r="AM67" s="1827"/>
      <c r="AN67" s="1827"/>
      <c r="AO67" s="1827"/>
      <c r="AP67" s="1827"/>
      <c r="AQ67" s="1827"/>
      <c r="AR67" s="1827"/>
      <c r="AS67" s="1827"/>
      <c r="AT67" s="1827"/>
      <c r="AU67" s="1827"/>
      <c r="AV67" s="1827"/>
      <c r="AW67" s="1827"/>
      <c r="AX67" s="1827"/>
      <c r="AY67" s="1827"/>
      <c r="AZ67" s="1827"/>
      <c r="BA67" s="1827"/>
      <c r="BB67" s="1827"/>
      <c r="BC67" s="1827"/>
      <c r="BD67" s="1827"/>
      <c r="BE67" s="1827"/>
      <c r="BF67" s="1827"/>
      <c r="BG67" s="1639"/>
    </row>
    <row customHeight="1" ht="11.25">
      <c r="A68" s="1170" t="s">
        <v>1261</v>
      </c>
      <c r="B68" s="1170" t="s">
        <v>22</v>
      </c>
      <c r="C68" s="1170"/>
      <c r="D68" s="1164"/>
      <c r="E68" s="1174"/>
      <c r="F68" s="1833"/>
      <c r="G68" s="687" t="s">
        <v>104</v>
      </c>
      <c r="H68" s="2519" t="s">
        <v>168</v>
      </c>
      <c r="I68" s="2520" t="s">
        <v>1319</v>
      </c>
      <c r="J68" s="2938" t="s">
        <v>22</v>
      </c>
      <c r="K68" s="2521"/>
      <c r="L68" s="2111" t="s">
        <v>19</v>
      </c>
      <c r="M68" s="2112"/>
      <c r="N68" s="1990"/>
      <c r="O68" s="1181" t="s">
        <v>394</v>
      </c>
      <c r="P68" s="1182"/>
      <c r="Q68" s="1182"/>
      <c r="R68" s="1182"/>
      <c r="S68" s="1182"/>
      <c r="T68" s="1182"/>
      <c r="U68" s="1182"/>
      <c r="V68" s="1182"/>
      <c r="W68" s="1182"/>
      <c r="X68" s="1182"/>
      <c r="Y68" s="1182"/>
      <c r="Z68" s="1182"/>
      <c r="AA68" s="1182"/>
      <c r="AB68" s="1182"/>
      <c r="AC68" s="1182"/>
      <c r="AD68" s="1182"/>
      <c r="AE68" s="1182"/>
      <c r="AF68" s="2510">
        <v>5</v>
      </c>
      <c r="AG68" s="2511" t="s">
        <v>1304</v>
      </c>
      <c r="AH68" s="2511" t="s">
        <v>1320</v>
      </c>
      <c r="AI68" s="2510">
        <v>0</v>
      </c>
      <c r="AJ68" s="2511" t="s">
        <v>1304</v>
      </c>
      <c r="AK68" s="2511" t="s">
        <v>1320</v>
      </c>
      <c r="AL68" s="1992"/>
      <c r="AM68" s="1827"/>
      <c r="AN68" s="1827"/>
      <c r="AO68" s="1827"/>
      <c r="AP68" s="1827"/>
      <c r="AQ68" s="1827"/>
      <c r="AR68" s="1827"/>
      <c r="AS68" s="1827"/>
      <c r="AT68" s="1827"/>
      <c r="AU68" s="1827"/>
      <c r="AV68" s="1827"/>
      <c r="AW68" s="1827"/>
      <c r="AX68" s="1827"/>
      <c r="AY68" s="1827"/>
      <c r="AZ68" s="1827"/>
      <c r="BA68" s="1827"/>
      <c r="BB68" s="1827"/>
      <c r="BC68" s="1827"/>
      <c r="BD68" s="1827"/>
      <c r="BE68" s="1827"/>
      <c r="BF68" s="1827"/>
      <c r="BG68" s="1639"/>
    </row>
    <row customHeight="1" ht="11.25">
      <c r="A69" s="1170" t="s">
        <v>1261</v>
      </c>
      <c r="B69" s="1170"/>
      <c r="C69" s="1170"/>
      <c r="D69" s="1164"/>
      <c r="E69" s="1174"/>
      <c r="F69" s="1833"/>
      <c r="G69" s="1834"/>
      <c r="H69" s="2519" t="s">
        <v>121</v>
      </c>
      <c r="I69" s="2520"/>
      <c r="J69" s="2938"/>
      <c r="K69" s="2521"/>
      <c r="L69" s="2111"/>
      <c r="M69" s="2112"/>
      <c r="N69" s="2512"/>
      <c r="O69" s="2513">
        <v>1</v>
      </c>
      <c r="P69" s="2514" t="s">
        <v>19</v>
      </c>
      <c r="Q69" s="2517" t="s">
        <v>22</v>
      </c>
      <c r="R69" s="2517" t="s">
        <v>22</v>
      </c>
      <c r="S69" s="2517" t="s">
        <v>22</v>
      </c>
      <c r="T69" s="2517" t="s">
        <v>22</v>
      </c>
      <c r="U69" s="2517" t="s">
        <v>22</v>
      </c>
      <c r="V69" s="2517" t="s">
        <v>22</v>
      </c>
      <c r="W69" s="2517" t="s">
        <v>22</v>
      </c>
      <c r="X69" s="2517" t="s">
        <v>22</v>
      </c>
      <c r="Y69" s="2517"/>
      <c r="Z69" s="1179"/>
      <c r="AA69" s="1180"/>
      <c r="AB69" s="1180"/>
      <c r="AC69" s="1184"/>
      <c r="AD69" s="1184"/>
      <c r="AE69" s="1185"/>
      <c r="AF69" s="2510"/>
      <c r="AG69" s="2511"/>
      <c r="AH69" s="2511"/>
      <c r="AI69" s="2510"/>
      <c r="AJ69" s="2511"/>
      <c r="AK69" s="2511"/>
      <c r="AL69" s="1992"/>
      <c r="AM69" s="1827"/>
      <c r="AN69" s="1827"/>
      <c r="AO69" s="1827"/>
      <c r="AP69" s="1827"/>
      <c r="AQ69" s="1827"/>
      <c r="AR69" s="1827"/>
      <c r="AS69" s="1827"/>
      <c r="AT69" s="1827"/>
      <c r="AU69" s="1827"/>
      <c r="AV69" s="1827"/>
      <c r="AW69" s="1827"/>
      <c r="AX69" s="1827"/>
      <c r="AY69" s="1827"/>
      <c r="AZ69" s="1827"/>
      <c r="BA69" s="1827"/>
      <c r="BB69" s="1827"/>
      <c r="BC69" s="1827"/>
      <c r="BD69" s="1827"/>
      <c r="BE69" s="1827"/>
      <c r="BF69" s="1827"/>
      <c r="BG69" s="1639"/>
    </row>
    <row customHeight="1" ht="11.25">
      <c r="A70" s="1170" t="s">
        <v>1261</v>
      </c>
      <c r="B70" s="1170"/>
      <c r="C70" s="1170"/>
      <c r="D70" s="1164"/>
      <c r="E70" s="1174"/>
      <c r="F70" s="1833"/>
      <c r="G70" s="1834"/>
      <c r="H70" s="2519" t="s">
        <v>121</v>
      </c>
      <c r="I70" s="2520"/>
      <c r="J70" s="2938"/>
      <c r="K70" s="2521"/>
      <c r="L70" s="2111"/>
      <c r="M70" s="2112"/>
      <c r="N70" s="2512"/>
      <c r="O70" s="2513"/>
      <c r="P70" s="2515"/>
      <c r="Q70" s="2517"/>
      <c r="R70" s="2517"/>
      <c r="S70" s="2518"/>
      <c r="T70" s="2517"/>
      <c r="U70" s="2517"/>
      <c r="V70" s="2517"/>
      <c r="W70" s="2517"/>
      <c r="X70" s="2517"/>
      <c r="Y70" s="2517"/>
      <c r="Z70" s="1832"/>
      <c r="AA70" s="1798">
        <v>1</v>
      </c>
      <c r="AB70" s="1183" t="s">
        <v>1313</v>
      </c>
      <c r="AC70" s="1173">
        <v>25329.652</v>
      </c>
      <c r="AD70" s="1183" t="str">
        <f>AB70</f>
        <v>  Кредиты</v>
      </c>
      <c r="AE70" s="1173">
        <v>7670.349</v>
      </c>
      <c r="AF70" s="2510"/>
      <c r="AG70" s="2511"/>
      <c r="AH70" s="2511"/>
      <c r="AI70" s="2510"/>
      <c r="AJ70" s="2511"/>
      <c r="AK70" s="2511"/>
      <c r="AL70" s="1992"/>
      <c r="AM70" s="1827"/>
      <c r="AN70" s="1827"/>
      <c r="AO70" s="1827"/>
      <c r="AP70" s="1827"/>
      <c r="AQ70" s="1827"/>
      <c r="AR70" s="1827"/>
      <c r="AS70" s="1827"/>
      <c r="AT70" s="1827"/>
      <c r="AU70" s="1827"/>
      <c r="AV70" s="1827"/>
      <c r="AW70" s="1827"/>
      <c r="AX70" s="1827"/>
      <c r="AY70" s="1827"/>
      <c r="AZ70" s="1827"/>
      <c r="BA70" s="1827"/>
      <c r="BB70" s="1827"/>
      <c r="BC70" s="1827"/>
      <c r="BD70" s="1827"/>
      <c r="BE70" s="1827"/>
      <c r="BF70" s="1827"/>
      <c r="BG70" s="1639"/>
    </row>
    <row customHeight="1" ht="11.25">
      <c r="A71" s="1170" t="s">
        <v>1261</v>
      </c>
      <c r="B71" s="1170"/>
      <c r="C71" s="1170"/>
      <c r="D71" s="1164"/>
      <c r="E71" s="1174"/>
      <c r="F71" s="1833"/>
      <c r="G71" s="1834"/>
      <c r="H71" s="2519" t="s">
        <v>121</v>
      </c>
      <c r="I71" s="2520"/>
      <c r="J71" s="2938"/>
      <c r="K71" s="2521"/>
      <c r="L71" s="2111"/>
      <c r="M71" s="2112"/>
      <c r="N71" s="2512"/>
      <c r="O71" s="2513"/>
      <c r="P71" s="2516"/>
      <c r="Q71" s="2517"/>
      <c r="R71" s="2517"/>
      <c r="S71" s="2518"/>
      <c r="T71" s="2517"/>
      <c r="U71" s="2517"/>
      <c r="V71" s="2517"/>
      <c r="W71" s="2517"/>
      <c r="X71" s="2517"/>
      <c r="Y71" s="2517"/>
      <c r="Z71" s="1179"/>
      <c r="AA71" s="1180"/>
      <c r="AB71" s="1245" t="s">
        <v>1307</v>
      </c>
      <c r="AC71" s="1184"/>
      <c r="AD71" s="1184"/>
      <c r="AE71" s="1186"/>
      <c r="AF71" s="2510"/>
      <c r="AG71" s="2511"/>
      <c r="AH71" s="2511"/>
      <c r="AI71" s="2510"/>
      <c r="AJ71" s="2511"/>
      <c r="AK71" s="2511"/>
      <c r="AL71" s="1992"/>
      <c r="AM71" s="1827"/>
      <c r="AN71" s="1827"/>
      <c r="AO71" s="1827"/>
      <c r="AP71" s="1827"/>
      <c r="AQ71" s="1827"/>
      <c r="AR71" s="1827"/>
      <c r="AS71" s="1827"/>
      <c r="AT71" s="1827"/>
      <c r="AU71" s="1827"/>
      <c r="AV71" s="1827"/>
      <c r="AW71" s="1827"/>
      <c r="AX71" s="1827"/>
      <c r="AY71" s="1827"/>
      <c r="AZ71" s="1827"/>
      <c r="BA71" s="1827"/>
      <c r="BB71" s="1827"/>
      <c r="BC71" s="1827"/>
      <c r="BD71" s="1827"/>
      <c r="BE71" s="1827"/>
      <c r="BF71" s="1827"/>
      <c r="BG71" s="1639"/>
    </row>
    <row customHeight="1" ht="11.25">
      <c r="A72" s="1170" t="s">
        <v>1261</v>
      </c>
      <c r="B72" s="1170"/>
      <c r="C72" s="1170"/>
      <c r="D72" s="1164"/>
      <c r="E72" s="1174"/>
      <c r="F72" s="1833"/>
      <c r="G72" s="1834"/>
      <c r="H72" s="2519" t="s">
        <v>121</v>
      </c>
      <c r="I72" s="2520"/>
      <c r="J72" s="2938"/>
      <c r="K72" s="2521"/>
      <c r="L72" s="2111"/>
      <c r="M72" s="2112"/>
      <c r="N72" s="1179"/>
      <c r="O72" s="1180"/>
      <c r="P72" s="1172" t="s">
        <v>1308</v>
      </c>
      <c r="Q72" s="1180"/>
      <c r="R72" s="1180"/>
      <c r="S72" s="1180"/>
      <c r="T72" s="1180"/>
      <c r="U72" s="1180"/>
      <c r="V72" s="1180"/>
      <c r="W72" s="1180"/>
      <c r="X72" s="1180"/>
      <c r="Y72" s="1180"/>
      <c r="Z72" s="1180"/>
      <c r="AA72" s="1180"/>
      <c r="AB72" s="1180"/>
      <c r="AC72" s="1180"/>
      <c r="AD72" s="1180"/>
      <c r="AE72" s="1187"/>
      <c r="AF72" s="2510"/>
      <c r="AG72" s="2511"/>
      <c r="AH72" s="2511"/>
      <c r="AI72" s="2510"/>
      <c r="AJ72" s="2511"/>
      <c r="AK72" s="2511"/>
      <c r="AL72" s="1992"/>
      <c r="AM72" s="1827"/>
      <c r="AN72" s="1827"/>
      <c r="AO72" s="1827"/>
      <c r="AP72" s="1827"/>
      <c r="AQ72" s="1827"/>
      <c r="AR72" s="1827"/>
      <c r="AS72" s="1827"/>
      <c r="AT72" s="1827"/>
      <c r="AU72" s="1827"/>
      <c r="AV72" s="1827"/>
      <c r="AW72" s="1827"/>
      <c r="AX72" s="1827"/>
      <c r="AY72" s="1827"/>
      <c r="AZ72" s="1827"/>
      <c r="BA72" s="1827"/>
      <c r="BB72" s="1827"/>
      <c r="BC72" s="1827"/>
      <c r="BD72" s="1827"/>
      <c r="BE72" s="1827"/>
      <c r="BF72" s="1827"/>
      <c r="BG72" s="1639"/>
    </row>
    <row customHeight="1" ht="11.25">
      <c r="A73" s="1170" t="s">
        <v>1261</v>
      </c>
      <c r="B73" s="1170" t="s">
        <v>22</v>
      </c>
      <c r="C73" s="1170"/>
      <c r="D73" s="1164"/>
      <c r="E73" s="1174"/>
      <c r="F73" s="1833"/>
      <c r="G73" s="687" t="s">
        <v>104</v>
      </c>
      <c r="H73" s="2519" t="s">
        <v>169</v>
      </c>
      <c r="I73" s="2520" t="s">
        <v>1319</v>
      </c>
      <c r="J73" s="2938" t="s">
        <v>22</v>
      </c>
      <c r="K73" s="2521"/>
      <c r="L73" s="2111" t="s">
        <v>19</v>
      </c>
      <c r="M73" s="2112"/>
      <c r="N73" s="1990"/>
      <c r="O73" s="1181" t="s">
        <v>394</v>
      </c>
      <c r="P73" s="1182"/>
      <c r="Q73" s="1182"/>
      <c r="R73" s="1182"/>
      <c r="S73" s="1182"/>
      <c r="T73" s="1182"/>
      <c r="U73" s="1182"/>
      <c r="V73" s="1182"/>
      <c r="W73" s="1182"/>
      <c r="X73" s="1182"/>
      <c r="Y73" s="1182"/>
      <c r="Z73" s="1182"/>
      <c r="AA73" s="1182"/>
      <c r="AB73" s="1182"/>
      <c r="AC73" s="1182"/>
      <c r="AD73" s="1182"/>
      <c r="AE73" s="1182"/>
      <c r="AF73" s="2510">
        <v>5</v>
      </c>
      <c r="AG73" s="2511" t="s">
        <v>1304</v>
      </c>
      <c r="AH73" s="2511" t="s">
        <v>1320</v>
      </c>
      <c r="AI73" s="2510">
        <v>0</v>
      </c>
      <c r="AJ73" s="2511" t="s">
        <v>1304</v>
      </c>
      <c r="AK73" s="2511" t="s">
        <v>1320</v>
      </c>
      <c r="AL73" s="1992"/>
      <c r="AM73" s="1827"/>
      <c r="AN73" s="1827"/>
      <c r="AO73" s="1827"/>
      <c r="AP73" s="1827"/>
      <c r="AQ73" s="1827"/>
      <c r="AR73" s="1827"/>
      <c r="AS73" s="1827"/>
      <c r="AT73" s="1827"/>
      <c r="AU73" s="1827"/>
      <c r="AV73" s="1827"/>
      <c r="AW73" s="1827"/>
      <c r="AX73" s="1827"/>
      <c r="AY73" s="1827"/>
      <c r="AZ73" s="1827"/>
      <c r="BA73" s="1827"/>
      <c r="BB73" s="1827"/>
      <c r="BC73" s="1827"/>
      <c r="BD73" s="1827"/>
      <c r="BE73" s="1827"/>
      <c r="BF73" s="1827"/>
      <c r="BG73" s="1639"/>
    </row>
    <row customHeight="1" ht="11.25">
      <c r="A74" s="1170" t="s">
        <v>1261</v>
      </c>
      <c r="B74" s="1170"/>
      <c r="C74" s="1170"/>
      <c r="D74" s="1164"/>
      <c r="E74" s="1174"/>
      <c r="F74" s="1833"/>
      <c r="G74" s="1834"/>
      <c r="H74" s="2519" t="s">
        <v>168</v>
      </c>
      <c r="I74" s="2520"/>
      <c r="J74" s="2938"/>
      <c r="K74" s="2521"/>
      <c r="L74" s="2111"/>
      <c r="M74" s="2112"/>
      <c r="N74" s="2512"/>
      <c r="O74" s="2513">
        <v>1</v>
      </c>
      <c r="P74" s="2514" t="s">
        <v>19</v>
      </c>
      <c r="Q74" s="2517" t="s">
        <v>22</v>
      </c>
      <c r="R74" s="2517" t="s">
        <v>22</v>
      </c>
      <c r="S74" s="2517" t="s">
        <v>22</v>
      </c>
      <c r="T74" s="2517" t="s">
        <v>22</v>
      </c>
      <c r="U74" s="2517" t="s">
        <v>22</v>
      </c>
      <c r="V74" s="2517" t="s">
        <v>22</v>
      </c>
      <c r="W74" s="2517" t="s">
        <v>22</v>
      </c>
      <c r="X74" s="2517" t="s">
        <v>22</v>
      </c>
      <c r="Y74" s="2517"/>
      <c r="Z74" s="1179"/>
      <c r="AA74" s="1180"/>
      <c r="AB74" s="1180"/>
      <c r="AC74" s="1184"/>
      <c r="AD74" s="1184"/>
      <c r="AE74" s="1185"/>
      <c r="AF74" s="2510"/>
      <c r="AG74" s="2511"/>
      <c r="AH74" s="2511"/>
      <c r="AI74" s="2510"/>
      <c r="AJ74" s="2511"/>
      <c r="AK74" s="2511"/>
      <c r="AL74" s="1992"/>
      <c r="AM74" s="1827"/>
      <c r="AN74" s="1827"/>
      <c r="AO74" s="1827"/>
      <c r="AP74" s="1827"/>
      <c r="AQ74" s="1827"/>
      <c r="AR74" s="1827"/>
      <c r="AS74" s="1827"/>
      <c r="AT74" s="1827"/>
      <c r="AU74" s="1827"/>
      <c r="AV74" s="1827"/>
      <c r="AW74" s="1827"/>
      <c r="AX74" s="1827"/>
      <c r="AY74" s="1827"/>
      <c r="AZ74" s="1827"/>
      <c r="BA74" s="1827"/>
      <c r="BB74" s="1827"/>
      <c r="BC74" s="1827"/>
      <c r="BD74" s="1827"/>
      <c r="BE74" s="1827"/>
      <c r="BF74" s="1827"/>
      <c r="BG74" s="1639"/>
    </row>
    <row customHeight="1" ht="11.25">
      <c r="A75" s="1170" t="s">
        <v>1261</v>
      </c>
      <c r="B75" s="1170"/>
      <c r="C75" s="1170"/>
      <c r="D75" s="1164"/>
      <c r="E75" s="1174"/>
      <c r="F75" s="1833"/>
      <c r="G75" s="1834"/>
      <c r="H75" s="2519" t="s">
        <v>168</v>
      </c>
      <c r="I75" s="2520"/>
      <c r="J75" s="2938"/>
      <c r="K75" s="2521"/>
      <c r="L75" s="2111"/>
      <c r="M75" s="2112"/>
      <c r="N75" s="2512"/>
      <c r="O75" s="2513"/>
      <c r="P75" s="2515"/>
      <c r="Q75" s="2517"/>
      <c r="R75" s="2517"/>
      <c r="S75" s="2518"/>
      <c r="T75" s="2517"/>
      <c r="U75" s="2517"/>
      <c r="V75" s="2517"/>
      <c r="W75" s="2517"/>
      <c r="X75" s="2517"/>
      <c r="Y75" s="2517"/>
      <c r="Z75" s="1832"/>
      <c r="AA75" s="1798">
        <v>1</v>
      </c>
      <c r="AB75" s="1183" t="s">
        <v>1313</v>
      </c>
      <c r="AC75" s="1173">
        <v>46386.945</v>
      </c>
      <c r="AD75" s="1183" t="str">
        <f>AB75</f>
        <v>  Кредиты</v>
      </c>
      <c r="AE75" s="1173">
        <v>40643.618</v>
      </c>
      <c r="AF75" s="2510"/>
      <c r="AG75" s="2511"/>
      <c r="AH75" s="2511"/>
      <c r="AI75" s="2510"/>
      <c r="AJ75" s="2511"/>
      <c r="AK75" s="2511"/>
      <c r="AL75" s="1992"/>
      <c r="AM75" s="1827"/>
      <c r="AN75" s="1827"/>
      <c r="AO75" s="1827"/>
      <c r="AP75" s="1827"/>
      <c r="AQ75" s="1827"/>
      <c r="AR75" s="1827"/>
      <c r="AS75" s="1827"/>
      <c r="AT75" s="1827"/>
      <c r="AU75" s="1827"/>
      <c r="AV75" s="1827"/>
      <c r="AW75" s="1827"/>
      <c r="AX75" s="1827"/>
      <c r="AY75" s="1827"/>
      <c r="AZ75" s="1827"/>
      <c r="BA75" s="1827"/>
      <c r="BB75" s="1827"/>
      <c r="BC75" s="1827"/>
      <c r="BD75" s="1827"/>
      <c r="BE75" s="1827"/>
      <c r="BF75" s="1827"/>
      <c r="BG75" s="1639"/>
    </row>
    <row customHeight="1" ht="11.25">
      <c r="A76" s="1170" t="s">
        <v>1261</v>
      </c>
      <c r="B76" s="1170"/>
      <c r="C76" s="1170"/>
      <c r="D76" s="1164"/>
      <c r="E76" s="1174"/>
      <c r="F76" s="1833"/>
      <c r="G76" s="1834"/>
      <c r="H76" s="2519" t="s">
        <v>168</v>
      </c>
      <c r="I76" s="2520"/>
      <c r="J76" s="2938"/>
      <c r="K76" s="2521"/>
      <c r="L76" s="2111"/>
      <c r="M76" s="2112"/>
      <c r="N76" s="2512"/>
      <c r="O76" s="2513"/>
      <c r="P76" s="2516"/>
      <c r="Q76" s="2517"/>
      <c r="R76" s="2517"/>
      <c r="S76" s="2518"/>
      <c r="T76" s="2517"/>
      <c r="U76" s="2517"/>
      <c r="V76" s="2517"/>
      <c r="W76" s="2517"/>
      <c r="X76" s="2517"/>
      <c r="Y76" s="2517"/>
      <c r="Z76" s="1179"/>
      <c r="AA76" s="1180"/>
      <c r="AB76" s="1245" t="s">
        <v>1307</v>
      </c>
      <c r="AC76" s="1184"/>
      <c r="AD76" s="1184"/>
      <c r="AE76" s="1186"/>
      <c r="AF76" s="2510"/>
      <c r="AG76" s="2511"/>
      <c r="AH76" s="2511"/>
      <c r="AI76" s="2510"/>
      <c r="AJ76" s="2511"/>
      <c r="AK76" s="2511"/>
      <c r="AL76" s="1992"/>
      <c r="AM76" s="1827"/>
      <c r="AN76" s="1827"/>
      <c r="AO76" s="1827"/>
      <c r="AP76" s="1827"/>
      <c r="AQ76" s="1827"/>
      <c r="AR76" s="1827"/>
      <c r="AS76" s="1827"/>
      <c r="AT76" s="1827"/>
      <c r="AU76" s="1827"/>
      <c r="AV76" s="1827"/>
      <c r="AW76" s="1827"/>
      <c r="AX76" s="1827"/>
      <c r="AY76" s="1827"/>
      <c r="AZ76" s="1827"/>
      <c r="BA76" s="1827"/>
      <c r="BB76" s="1827"/>
      <c r="BC76" s="1827"/>
      <c r="BD76" s="1827"/>
      <c r="BE76" s="1827"/>
      <c r="BF76" s="1827"/>
      <c r="BG76" s="1639"/>
    </row>
    <row customHeight="1" ht="11.25">
      <c r="A77" s="1170" t="s">
        <v>1261</v>
      </c>
      <c r="B77" s="1170"/>
      <c r="C77" s="1170"/>
      <c r="D77" s="1164"/>
      <c r="E77" s="1174"/>
      <c r="F77" s="1833"/>
      <c r="G77" s="1834"/>
      <c r="H77" s="2519" t="s">
        <v>168</v>
      </c>
      <c r="I77" s="2520"/>
      <c r="J77" s="2938"/>
      <c r="K77" s="2521"/>
      <c r="L77" s="2111"/>
      <c r="M77" s="2112"/>
      <c r="N77" s="1179"/>
      <c r="O77" s="1180"/>
      <c r="P77" s="1172" t="s">
        <v>1308</v>
      </c>
      <c r="Q77" s="1180"/>
      <c r="R77" s="1180"/>
      <c r="S77" s="1180"/>
      <c r="T77" s="1180"/>
      <c r="U77" s="1180"/>
      <c r="V77" s="1180"/>
      <c r="W77" s="1180"/>
      <c r="X77" s="1180"/>
      <c r="Y77" s="1180"/>
      <c r="Z77" s="1180"/>
      <c r="AA77" s="1180"/>
      <c r="AB77" s="1180"/>
      <c r="AC77" s="1180"/>
      <c r="AD77" s="1180"/>
      <c r="AE77" s="1187"/>
      <c r="AF77" s="2510"/>
      <c r="AG77" s="2511"/>
      <c r="AH77" s="2511"/>
      <c r="AI77" s="2510"/>
      <c r="AJ77" s="2511"/>
      <c r="AK77" s="2511"/>
      <c r="AL77" s="1992"/>
      <c r="AM77" s="1827"/>
      <c r="AN77" s="1827"/>
      <c r="AO77" s="1827"/>
      <c r="AP77" s="1827"/>
      <c r="AQ77" s="1827"/>
      <c r="AR77" s="1827"/>
      <c r="AS77" s="1827"/>
      <c r="AT77" s="1827"/>
      <c r="AU77" s="1827"/>
      <c r="AV77" s="1827"/>
      <c r="AW77" s="1827"/>
      <c r="AX77" s="1827"/>
      <c r="AY77" s="1827"/>
      <c r="AZ77" s="1827"/>
      <c r="BA77" s="1827"/>
      <c r="BB77" s="1827"/>
      <c r="BC77" s="1827"/>
      <c r="BD77" s="1827"/>
      <c r="BE77" s="1827"/>
      <c r="BF77" s="1827"/>
      <c r="BG77" s="1639"/>
    </row>
    <row customHeight="1" ht="11.25">
      <c r="A78" s="1170" t="s">
        <v>1261</v>
      </c>
      <c r="B78" s="1170" t="s">
        <v>22</v>
      </c>
      <c r="C78" s="1170"/>
      <c r="D78" s="1164"/>
      <c r="E78" s="1174"/>
      <c r="F78" s="1833"/>
      <c r="G78" s="687" t="s">
        <v>104</v>
      </c>
      <c r="H78" s="2519" t="s">
        <v>170</v>
      </c>
      <c r="I78" s="2520" t="s">
        <v>1315</v>
      </c>
      <c r="J78" s="2938" t="s">
        <v>22</v>
      </c>
      <c r="K78" s="2521"/>
      <c r="L78" s="2111" t="s">
        <v>19</v>
      </c>
      <c r="M78" s="2112"/>
      <c r="N78" s="1990"/>
      <c r="O78" s="1181" t="s">
        <v>394</v>
      </c>
      <c r="P78" s="1182"/>
      <c r="Q78" s="1182"/>
      <c r="R78" s="1182"/>
      <c r="S78" s="1182"/>
      <c r="T78" s="1182"/>
      <c r="U78" s="1182"/>
      <c r="V78" s="1182"/>
      <c r="W78" s="1182"/>
      <c r="X78" s="1182"/>
      <c r="Y78" s="1182"/>
      <c r="Z78" s="1182"/>
      <c r="AA78" s="1182"/>
      <c r="AB78" s="1182"/>
      <c r="AC78" s="1182"/>
      <c r="AD78" s="1182"/>
      <c r="AE78" s="1182"/>
      <c r="AF78" s="2510">
        <v>25</v>
      </c>
      <c r="AG78" s="2511" t="s">
        <v>1304</v>
      </c>
      <c r="AH78" s="2511" t="s">
        <v>1316</v>
      </c>
      <c r="AI78" s="2510">
        <v>0</v>
      </c>
      <c r="AJ78" s="2511" t="s">
        <v>1304</v>
      </c>
      <c r="AK78" s="2511" t="s">
        <v>1316</v>
      </c>
      <c r="AL78" s="1992"/>
      <c r="AM78" s="1827"/>
      <c r="AN78" s="1827"/>
      <c r="AO78" s="1827"/>
      <c r="AP78" s="1827"/>
      <c r="AQ78" s="1827"/>
      <c r="AR78" s="1827"/>
      <c r="AS78" s="1827"/>
      <c r="AT78" s="1827"/>
      <c r="AU78" s="1827"/>
      <c r="AV78" s="1827"/>
      <c r="AW78" s="1827"/>
      <c r="AX78" s="1827"/>
      <c r="AY78" s="1827"/>
      <c r="AZ78" s="1827"/>
      <c r="BA78" s="1827"/>
      <c r="BB78" s="1827"/>
      <c r="BC78" s="1827"/>
      <c r="BD78" s="1827"/>
      <c r="BE78" s="1827"/>
      <c r="BF78" s="1827"/>
      <c r="BG78" s="1639"/>
    </row>
    <row customHeight="1" ht="11.25">
      <c r="A79" s="1170" t="s">
        <v>1261</v>
      </c>
      <c r="B79" s="1170"/>
      <c r="C79" s="1170"/>
      <c r="D79" s="1164"/>
      <c r="E79" s="1174"/>
      <c r="F79" s="1833"/>
      <c r="G79" s="1834"/>
      <c r="H79" s="2519" t="s">
        <v>169</v>
      </c>
      <c r="I79" s="2520"/>
      <c r="J79" s="2938"/>
      <c r="K79" s="2521"/>
      <c r="L79" s="2111"/>
      <c r="M79" s="2112"/>
      <c r="N79" s="2512"/>
      <c r="O79" s="2513">
        <v>1</v>
      </c>
      <c r="P79" s="2514" t="s">
        <v>19</v>
      </c>
      <c r="Q79" s="2517" t="s">
        <v>22</v>
      </c>
      <c r="R79" s="2517" t="s">
        <v>22</v>
      </c>
      <c r="S79" s="2517" t="s">
        <v>22</v>
      </c>
      <c r="T79" s="2517" t="s">
        <v>22</v>
      </c>
      <c r="U79" s="2517" t="s">
        <v>22</v>
      </c>
      <c r="V79" s="2517" t="s">
        <v>22</v>
      </c>
      <c r="W79" s="2517" t="s">
        <v>22</v>
      </c>
      <c r="X79" s="2517" t="s">
        <v>22</v>
      </c>
      <c r="Y79" s="2517"/>
      <c r="Z79" s="1179"/>
      <c r="AA79" s="1180"/>
      <c r="AB79" s="1180"/>
      <c r="AC79" s="1184"/>
      <c r="AD79" s="1184"/>
      <c r="AE79" s="1185"/>
      <c r="AF79" s="2510"/>
      <c r="AG79" s="2511"/>
      <c r="AH79" s="2511"/>
      <c r="AI79" s="2510"/>
      <c r="AJ79" s="2511"/>
      <c r="AK79" s="2511"/>
      <c r="AL79" s="1992"/>
      <c r="AM79" s="1827"/>
      <c r="AN79" s="1827"/>
      <c r="AO79" s="1827"/>
      <c r="AP79" s="1827"/>
      <c r="AQ79" s="1827"/>
      <c r="AR79" s="1827"/>
      <c r="AS79" s="1827"/>
      <c r="AT79" s="1827"/>
      <c r="AU79" s="1827"/>
      <c r="AV79" s="1827"/>
      <c r="AW79" s="1827"/>
      <c r="AX79" s="1827"/>
      <c r="AY79" s="1827"/>
      <c r="AZ79" s="1827"/>
      <c r="BA79" s="1827"/>
      <c r="BB79" s="1827"/>
      <c r="BC79" s="1827"/>
      <c r="BD79" s="1827"/>
      <c r="BE79" s="1827"/>
      <c r="BF79" s="1827"/>
      <c r="BG79" s="1639"/>
    </row>
    <row customHeight="1" ht="11.25">
      <c r="A80" s="1170" t="s">
        <v>1261</v>
      </c>
      <c r="B80" s="1170"/>
      <c r="C80" s="1170"/>
      <c r="D80" s="1164"/>
      <c r="E80" s="1174"/>
      <c r="F80" s="1833"/>
      <c r="G80" s="1834"/>
      <c r="H80" s="2519" t="s">
        <v>169</v>
      </c>
      <c r="I80" s="2520"/>
      <c r="J80" s="2938"/>
      <c r="K80" s="2521"/>
      <c r="L80" s="2111"/>
      <c r="M80" s="2112"/>
      <c r="N80" s="2512"/>
      <c r="O80" s="2513"/>
      <c r="P80" s="2515"/>
      <c r="Q80" s="2517"/>
      <c r="R80" s="2517"/>
      <c r="S80" s="2518"/>
      <c r="T80" s="2517"/>
      <c r="U80" s="2517"/>
      <c r="V80" s="2517"/>
      <c r="W80" s="2517"/>
      <c r="X80" s="2517"/>
      <c r="Y80" s="2517"/>
      <c r="Z80" s="1832"/>
      <c r="AA80" s="1798">
        <v>1</v>
      </c>
      <c r="AB80" s="1183" t="s">
        <v>1313</v>
      </c>
      <c r="AC80" s="1173">
        <v>228929.698</v>
      </c>
      <c r="AD80" s="1183" t="str">
        <f>AB80</f>
        <v>  Кредиты</v>
      </c>
      <c r="AE80" s="1173">
        <v>210055.741</v>
      </c>
      <c r="AF80" s="2510"/>
      <c r="AG80" s="2511"/>
      <c r="AH80" s="2511"/>
      <c r="AI80" s="2510"/>
      <c r="AJ80" s="2511"/>
      <c r="AK80" s="2511"/>
      <c r="AL80" s="1992"/>
      <c r="AM80" s="1827"/>
      <c r="AN80" s="1827"/>
      <c r="AO80" s="1827"/>
      <c r="AP80" s="1827"/>
      <c r="AQ80" s="1827"/>
      <c r="AR80" s="1827"/>
      <c r="AS80" s="1827"/>
      <c r="AT80" s="1827"/>
      <c r="AU80" s="1827"/>
      <c r="AV80" s="1827"/>
      <c r="AW80" s="1827"/>
      <c r="AX80" s="1827"/>
      <c r="AY80" s="1827"/>
      <c r="AZ80" s="1827"/>
      <c r="BA80" s="1827"/>
      <c r="BB80" s="1827"/>
      <c r="BC80" s="1827"/>
      <c r="BD80" s="1827"/>
      <c r="BE80" s="1827"/>
      <c r="BF80" s="1827"/>
      <c r="BG80" s="1639"/>
    </row>
    <row customHeight="1" ht="11.25">
      <c r="A81" s="1170" t="s">
        <v>1261</v>
      </c>
      <c r="B81" s="1170"/>
      <c r="C81" s="1170"/>
      <c r="D81" s="1164"/>
      <c r="E81" s="1174"/>
      <c r="F81" s="1833"/>
      <c r="G81" s="1834"/>
      <c r="H81" s="2519" t="s">
        <v>169</v>
      </c>
      <c r="I81" s="2520"/>
      <c r="J81" s="2938"/>
      <c r="K81" s="2521"/>
      <c r="L81" s="2111"/>
      <c r="M81" s="2112"/>
      <c r="N81" s="2512"/>
      <c r="O81" s="2513"/>
      <c r="P81" s="2516"/>
      <c r="Q81" s="2517"/>
      <c r="R81" s="2517"/>
      <c r="S81" s="2518"/>
      <c r="T81" s="2517"/>
      <c r="U81" s="2517"/>
      <c r="V81" s="2517"/>
      <c r="W81" s="2517"/>
      <c r="X81" s="2517"/>
      <c r="Y81" s="2517"/>
      <c r="Z81" s="1179"/>
      <c r="AA81" s="1180"/>
      <c r="AB81" s="1245" t="s">
        <v>1307</v>
      </c>
      <c r="AC81" s="1184"/>
      <c r="AD81" s="1184"/>
      <c r="AE81" s="1186"/>
      <c r="AF81" s="2510"/>
      <c r="AG81" s="2511"/>
      <c r="AH81" s="2511"/>
      <c r="AI81" s="2510"/>
      <c r="AJ81" s="2511"/>
      <c r="AK81" s="2511"/>
      <c r="AL81" s="1992"/>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c r="BG81" s="1639"/>
    </row>
    <row customHeight="1" ht="11.25">
      <c r="A82" s="1170" t="s">
        <v>1261</v>
      </c>
      <c r="B82" s="1170"/>
      <c r="C82" s="1170"/>
      <c r="D82" s="1164"/>
      <c r="E82" s="1174"/>
      <c r="F82" s="1833"/>
      <c r="G82" s="1834"/>
      <c r="H82" s="2519" t="s">
        <v>169</v>
      </c>
      <c r="I82" s="2520"/>
      <c r="J82" s="2938"/>
      <c r="K82" s="2521"/>
      <c r="L82" s="2111"/>
      <c r="M82" s="2112"/>
      <c r="N82" s="1179"/>
      <c r="O82" s="1180"/>
      <c r="P82" s="1172" t="s">
        <v>1308</v>
      </c>
      <c r="Q82" s="1180"/>
      <c r="R82" s="1180"/>
      <c r="S82" s="1180"/>
      <c r="T82" s="1180"/>
      <c r="U82" s="1180"/>
      <c r="V82" s="1180"/>
      <c r="W82" s="1180"/>
      <c r="X82" s="1180"/>
      <c r="Y82" s="1180"/>
      <c r="Z82" s="1180"/>
      <c r="AA82" s="1180"/>
      <c r="AB82" s="1180"/>
      <c r="AC82" s="1180"/>
      <c r="AD82" s="1180"/>
      <c r="AE82" s="1187"/>
      <c r="AF82" s="2510"/>
      <c r="AG82" s="2511"/>
      <c r="AH82" s="2511"/>
      <c r="AI82" s="2510"/>
      <c r="AJ82" s="2511"/>
      <c r="AK82" s="2511"/>
      <c r="AL82" s="1992"/>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c r="BG82" s="1639"/>
    </row>
    <row customHeight="1" ht="12">
      <c r="A83" s="1170" t="s">
        <v>1261</v>
      </c>
      <c r="B83" s="1170"/>
      <c r="C83" s="1170"/>
      <c r="D83" s="1164"/>
      <c r="E83" s="1174"/>
      <c r="F83" s="2541"/>
      <c r="G83" s="1194"/>
      <c r="H83" s="1194"/>
      <c r="I83" s="2539" t="s">
        <v>1321</v>
      </c>
      <c r="J83" s="2539"/>
      <c r="K83" s="2539"/>
      <c r="L83" s="1177"/>
      <c r="M83" s="1177"/>
      <c r="N83" s="1178"/>
      <c r="O83" s="1178"/>
      <c r="P83" s="1178"/>
      <c r="Q83" s="1178"/>
      <c r="R83" s="1178"/>
      <c r="S83" s="1178"/>
      <c r="T83" s="1178"/>
      <c r="U83" s="1178"/>
      <c r="V83" s="1178"/>
      <c r="W83" s="1178"/>
      <c r="X83" s="1178"/>
      <c r="Y83" s="1178"/>
      <c r="Z83" s="1178"/>
      <c r="AA83" s="1178"/>
      <c r="AB83" s="1178"/>
      <c r="AC83" s="1178"/>
      <c r="AD83" s="1178"/>
      <c r="AE83" s="1178"/>
      <c r="AF83" s="1178"/>
      <c r="AG83" s="1177"/>
      <c r="AH83" s="1177"/>
      <c r="AI83" s="1178"/>
      <c r="AJ83" s="1177"/>
      <c r="AK83" s="1178"/>
      <c r="AL83" s="1992"/>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c r="BG83" s="1639"/>
    </row>
    <row customHeight="1" ht="0.75">
      <c r="A84" s="1170" t="s">
        <v>1261</v>
      </c>
      <c r="B84" s="1170"/>
      <c r="C84" s="1170"/>
      <c r="D84" s="1164"/>
      <c r="E84" s="1174"/>
      <c r="F84" s="2540">
        <v>2024</v>
      </c>
      <c r="G84" s="2519"/>
      <c r="H84" s="2544" t="s">
        <v>394</v>
      </c>
      <c r="I84" s="2545"/>
      <c r="J84" s="2546"/>
      <c r="K84" s="2546"/>
      <c r="L84" s="2538"/>
      <c r="M84" s="2272"/>
      <c r="N84" s="2040"/>
      <c r="O84" s="2039"/>
      <c r="P84" s="2040"/>
      <c r="Q84" s="2040"/>
      <c r="R84" s="2040"/>
      <c r="S84" s="2040"/>
      <c r="T84" s="2040"/>
      <c r="U84" s="2040"/>
      <c r="V84" s="2040"/>
      <c r="W84" s="2040"/>
      <c r="X84" s="2040"/>
      <c r="Y84" s="2040"/>
      <c r="Z84" s="2040"/>
      <c r="AA84" s="2040"/>
      <c r="AB84" s="2040"/>
      <c r="AC84" s="2040"/>
      <c r="AD84" s="2040"/>
      <c r="AE84" s="2040"/>
      <c r="AF84" s="2542"/>
      <c r="AG84" s="2538"/>
      <c r="AH84" s="2538"/>
      <c r="AI84" s="2542"/>
      <c r="AJ84" s="2538"/>
      <c r="AK84" s="2538"/>
      <c r="AL84" s="1992"/>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c r="BG84" s="1639"/>
    </row>
    <row customHeight="1" ht="0.75">
      <c r="A85" s="1170" t="s">
        <v>1261</v>
      </c>
      <c r="B85" s="1170"/>
      <c r="C85" s="1170"/>
      <c r="D85" s="1164"/>
      <c r="E85" s="1174"/>
      <c r="F85" s="2540"/>
      <c r="G85" s="2519"/>
      <c r="H85" s="2544"/>
      <c r="I85" s="2545"/>
      <c r="J85" s="2546"/>
      <c r="K85" s="2546"/>
      <c r="L85" s="2538"/>
      <c r="M85" s="2272"/>
      <c r="N85" s="2547"/>
      <c r="O85" s="2548"/>
      <c r="P85" s="2592"/>
      <c r="Q85" s="2543"/>
      <c r="R85" s="2543"/>
      <c r="S85" s="2543"/>
      <c r="T85" s="2543"/>
      <c r="U85" s="2543"/>
      <c r="V85" s="2543"/>
      <c r="W85" s="2543"/>
      <c r="X85" s="2543"/>
      <c r="Y85" s="2543"/>
      <c r="Z85" s="2041"/>
      <c r="AA85" s="2042"/>
      <c r="AB85" s="2042"/>
      <c r="AC85" s="2043"/>
      <c r="AD85" s="2043"/>
      <c r="AE85" s="2044"/>
      <c r="AF85" s="2542"/>
      <c r="AG85" s="2538"/>
      <c r="AH85" s="2538"/>
      <c r="AI85" s="2542"/>
      <c r="AJ85" s="2538"/>
      <c r="AK85" s="2538"/>
      <c r="AL85" s="1992"/>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c r="BG85" s="1639"/>
    </row>
    <row customHeight="1" ht="0.75">
      <c r="A86" s="1170" t="s">
        <v>1261</v>
      </c>
      <c r="B86" s="1170"/>
      <c r="C86" s="1170"/>
      <c r="D86" s="1164"/>
      <c r="E86" s="1174"/>
      <c r="F86" s="2540"/>
      <c r="G86" s="2519"/>
      <c r="H86" s="2544"/>
      <c r="I86" s="2545"/>
      <c r="J86" s="2546"/>
      <c r="K86" s="2546"/>
      <c r="L86" s="2538"/>
      <c r="M86" s="2272"/>
      <c r="N86" s="2547"/>
      <c r="O86" s="2548"/>
      <c r="P86" s="2593"/>
      <c r="Q86" s="2543"/>
      <c r="R86" s="2543"/>
      <c r="S86" s="2543"/>
      <c r="T86" s="2543"/>
      <c r="U86" s="2543"/>
      <c r="V86" s="2543"/>
      <c r="W86" s="2543"/>
      <c r="X86" s="2543"/>
      <c r="Y86" s="2543"/>
      <c r="Z86" s="2045"/>
      <c r="AA86" s="2046"/>
      <c r="AB86" s="2047"/>
      <c r="AC86" s="2048"/>
      <c r="AD86" s="2047"/>
      <c r="AE86" s="2048"/>
      <c r="AF86" s="2542"/>
      <c r="AG86" s="2538"/>
      <c r="AH86" s="2538"/>
      <c r="AI86" s="2542"/>
      <c r="AJ86" s="2538"/>
      <c r="AK86" s="2538"/>
      <c r="AL86" s="1992"/>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c r="BG86" s="1639"/>
    </row>
    <row customHeight="1" ht="0.75">
      <c r="A87" s="1170" t="s">
        <v>1261</v>
      </c>
      <c r="B87" s="1170"/>
      <c r="C87" s="1170"/>
      <c r="D87" s="1164"/>
      <c r="E87" s="1174"/>
      <c r="F87" s="2540"/>
      <c r="G87" s="2519"/>
      <c r="H87" s="2544"/>
      <c r="I87" s="2545"/>
      <c r="J87" s="2546"/>
      <c r="K87" s="2546"/>
      <c r="L87" s="2538"/>
      <c r="M87" s="2272"/>
      <c r="N87" s="2547"/>
      <c r="O87" s="2548"/>
      <c r="P87" s="2594"/>
      <c r="Q87" s="2543"/>
      <c r="R87" s="2543"/>
      <c r="S87" s="2543"/>
      <c r="T87" s="2543"/>
      <c r="U87" s="2543"/>
      <c r="V87" s="2543"/>
      <c r="W87" s="2543"/>
      <c r="X87" s="2543"/>
      <c r="Y87" s="2543"/>
      <c r="Z87" s="2041"/>
      <c r="AA87" s="2042"/>
      <c r="AB87" s="2049"/>
      <c r="AC87" s="2043"/>
      <c r="AD87" s="2043"/>
      <c r="AE87" s="2050"/>
      <c r="AF87" s="2542"/>
      <c r="AG87" s="2538"/>
      <c r="AH87" s="2538"/>
      <c r="AI87" s="2542"/>
      <c r="AJ87" s="2538"/>
      <c r="AK87" s="2538"/>
      <c r="AL87" s="1992"/>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c r="BG87" s="1639"/>
    </row>
    <row customHeight="1" ht="0.75">
      <c r="A88" s="1170" t="s">
        <v>1261</v>
      </c>
      <c r="B88" s="1170"/>
      <c r="C88" s="1170"/>
      <c r="D88" s="1164"/>
      <c r="E88" s="1174"/>
      <c r="F88" s="2540"/>
      <c r="G88" s="2519"/>
      <c r="H88" s="2544"/>
      <c r="I88" s="2545"/>
      <c r="J88" s="2546"/>
      <c r="K88" s="2546"/>
      <c r="L88" s="2538"/>
      <c r="M88" s="2272"/>
      <c r="N88" s="2042"/>
      <c r="O88" s="2042"/>
      <c r="P88" s="2049"/>
      <c r="Q88" s="2042"/>
      <c r="R88" s="2042"/>
      <c r="S88" s="2042"/>
      <c r="T88" s="2042"/>
      <c r="U88" s="2042"/>
      <c r="V88" s="2042"/>
      <c r="W88" s="2042"/>
      <c r="X88" s="2042"/>
      <c r="Y88" s="2042"/>
      <c r="Z88" s="2042"/>
      <c r="AA88" s="2042"/>
      <c r="AB88" s="2042"/>
      <c r="AC88" s="2042"/>
      <c r="AD88" s="2042"/>
      <c r="AE88" s="2051"/>
      <c r="AF88" s="2542"/>
      <c r="AG88" s="2538"/>
      <c r="AH88" s="2538"/>
      <c r="AI88" s="2542"/>
      <c r="AJ88" s="2538"/>
      <c r="AK88" s="2538"/>
      <c r="AL88" s="1992"/>
      <c r="AM88" s="1827"/>
      <c r="AN88" s="1827"/>
      <c r="AO88" s="1827"/>
      <c r="AP88" s="1827"/>
      <c r="AQ88" s="1827"/>
      <c r="AR88" s="1827"/>
      <c r="AS88" s="1827"/>
      <c r="AT88" s="1827"/>
      <c r="AU88" s="1827"/>
      <c r="AV88" s="1827"/>
      <c r="AW88" s="1827"/>
      <c r="AX88" s="1827"/>
      <c r="AY88" s="1827"/>
      <c r="AZ88" s="1827"/>
      <c r="BA88" s="1827"/>
      <c r="BB88" s="1827"/>
      <c r="BC88" s="1827"/>
      <c r="BD88" s="1827"/>
      <c r="BE88" s="1827"/>
      <c r="BF88" s="1827"/>
      <c r="BG88" s="1639"/>
    </row>
    <row customHeight="1" ht="12">
      <c r="A89" s="1170" t="s">
        <v>1261</v>
      </c>
      <c r="B89" s="1170"/>
      <c r="C89" s="1170"/>
      <c r="D89" s="1164"/>
      <c r="E89" s="1174"/>
      <c r="F89" s="2541"/>
      <c r="G89" s="1194"/>
      <c r="H89" s="1194"/>
      <c r="I89" s="2539" t="s">
        <v>1321</v>
      </c>
      <c r="J89" s="2539"/>
      <c r="K89" s="2539"/>
      <c r="L89" s="1177"/>
      <c r="M89" s="1177"/>
      <c r="N89" s="1178"/>
      <c r="O89" s="1178"/>
      <c r="P89" s="1178"/>
      <c r="Q89" s="1178"/>
      <c r="R89" s="1178"/>
      <c r="S89" s="1178"/>
      <c r="T89" s="1178"/>
      <c r="U89" s="1178"/>
      <c r="V89" s="1178"/>
      <c r="W89" s="1178"/>
      <c r="X89" s="1178"/>
      <c r="Y89" s="1178"/>
      <c r="Z89" s="1178"/>
      <c r="AA89" s="1178"/>
      <c r="AB89" s="1178"/>
      <c r="AC89" s="1178"/>
      <c r="AD89" s="1178"/>
      <c r="AE89" s="1178"/>
      <c r="AF89" s="1178"/>
      <c r="AG89" s="1177"/>
      <c r="AH89" s="1177"/>
      <c r="AI89" s="1178"/>
      <c r="AJ89" s="1177"/>
      <c r="AK89" s="1178"/>
      <c r="AL89" s="1992"/>
      <c r="AM89" s="1827"/>
      <c r="AN89" s="1827"/>
      <c r="AO89" s="1827"/>
      <c r="AP89" s="1827"/>
      <c r="AQ89" s="1827"/>
      <c r="AR89" s="1827"/>
      <c r="AS89" s="1827"/>
      <c r="AT89" s="1827"/>
      <c r="AU89" s="1827"/>
      <c r="AV89" s="1827"/>
      <c r="AW89" s="1827"/>
      <c r="AX89" s="1827"/>
      <c r="AY89" s="1827"/>
      <c r="AZ89" s="1827"/>
      <c r="BA89" s="1827"/>
      <c r="BB89" s="1827"/>
      <c r="BC89" s="1827"/>
      <c r="BD89" s="1827"/>
      <c r="BE89" s="1827"/>
      <c r="BF89" s="1827"/>
      <c r="BG89" s="1639"/>
    </row>
    <row customHeight="1" ht="0.75">
      <c r="A90" s="1170" t="s">
        <v>1261</v>
      </c>
      <c r="B90" s="1170"/>
      <c r="C90" s="1170"/>
      <c r="D90" s="1164"/>
      <c r="E90" s="1174"/>
      <c r="F90" s="2540">
        <v>2025</v>
      </c>
      <c r="G90" s="2519"/>
      <c r="H90" s="2544" t="s">
        <v>394</v>
      </c>
      <c r="I90" s="2545"/>
      <c r="J90" s="2546"/>
      <c r="K90" s="2546"/>
      <c r="L90" s="2538"/>
      <c r="M90" s="2272"/>
      <c r="N90" s="2040"/>
      <c r="O90" s="2039"/>
      <c r="P90" s="2040"/>
      <c r="Q90" s="2040"/>
      <c r="R90" s="2040"/>
      <c r="S90" s="2040"/>
      <c r="T90" s="2040"/>
      <c r="U90" s="2040"/>
      <c r="V90" s="2040"/>
      <c r="W90" s="2040"/>
      <c r="X90" s="2040"/>
      <c r="Y90" s="2040"/>
      <c r="Z90" s="2040"/>
      <c r="AA90" s="2040"/>
      <c r="AB90" s="2040"/>
      <c r="AC90" s="2040"/>
      <c r="AD90" s="2040"/>
      <c r="AE90" s="2040"/>
      <c r="AF90" s="2542"/>
      <c r="AG90" s="2538"/>
      <c r="AH90" s="2538"/>
      <c r="AI90" s="2542"/>
      <c r="AJ90" s="2538"/>
      <c r="AK90" s="2538"/>
      <c r="AL90" s="1992"/>
      <c r="AM90" s="1827"/>
      <c r="AN90" s="1827"/>
      <c r="AO90" s="1827"/>
      <c r="AP90" s="1827"/>
      <c r="AQ90" s="1827"/>
      <c r="AR90" s="1827"/>
      <c r="AS90" s="1827"/>
      <c r="AT90" s="1827"/>
      <c r="AU90" s="1827"/>
      <c r="AV90" s="1827"/>
      <c r="AW90" s="1827"/>
      <c r="AX90" s="1827"/>
      <c r="AY90" s="1827"/>
      <c r="AZ90" s="1827"/>
      <c r="BA90" s="1827"/>
      <c r="BB90" s="1827"/>
      <c r="BC90" s="1827"/>
      <c r="BD90" s="1827"/>
      <c r="BE90" s="1827"/>
      <c r="BF90" s="1827"/>
      <c r="BG90" s="1639"/>
    </row>
    <row customHeight="1" ht="0.75">
      <c r="A91" s="1170" t="s">
        <v>1261</v>
      </c>
      <c r="B91" s="1170"/>
      <c r="C91" s="1170"/>
      <c r="D91" s="1164"/>
      <c r="E91" s="1174"/>
      <c r="F91" s="2540"/>
      <c r="G91" s="2519"/>
      <c r="H91" s="2544"/>
      <c r="I91" s="2545"/>
      <c r="J91" s="2546"/>
      <c r="K91" s="2546"/>
      <c r="L91" s="2538"/>
      <c r="M91" s="2272"/>
      <c r="N91" s="2547"/>
      <c r="O91" s="2548"/>
      <c r="P91" s="2592"/>
      <c r="Q91" s="2543"/>
      <c r="R91" s="2543"/>
      <c r="S91" s="2543"/>
      <c r="T91" s="2543"/>
      <c r="U91" s="2543"/>
      <c r="V91" s="2543"/>
      <c r="W91" s="2543"/>
      <c r="X91" s="2543"/>
      <c r="Y91" s="2543"/>
      <c r="Z91" s="2041"/>
      <c r="AA91" s="2042"/>
      <c r="AB91" s="2042"/>
      <c r="AC91" s="2043"/>
      <c r="AD91" s="2043"/>
      <c r="AE91" s="2044"/>
      <c r="AF91" s="2542"/>
      <c r="AG91" s="2538"/>
      <c r="AH91" s="2538"/>
      <c r="AI91" s="2542"/>
      <c r="AJ91" s="2538"/>
      <c r="AK91" s="2538"/>
      <c r="AL91" s="1992"/>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c r="BG91" s="1639"/>
    </row>
    <row customHeight="1" ht="0.75">
      <c r="A92" s="1170" t="s">
        <v>1261</v>
      </c>
      <c r="B92" s="1170"/>
      <c r="C92" s="1170"/>
      <c r="D92" s="1164"/>
      <c r="E92" s="1174"/>
      <c r="F92" s="2540"/>
      <c r="G92" s="2519"/>
      <c r="H92" s="2544"/>
      <c r="I92" s="2545"/>
      <c r="J92" s="2546"/>
      <c r="K92" s="2546"/>
      <c r="L92" s="2538"/>
      <c r="M92" s="2272"/>
      <c r="N92" s="2547"/>
      <c r="O92" s="2548"/>
      <c r="P92" s="2593"/>
      <c r="Q92" s="2543"/>
      <c r="R92" s="2543"/>
      <c r="S92" s="2543"/>
      <c r="T92" s="2543"/>
      <c r="U92" s="2543"/>
      <c r="V92" s="2543"/>
      <c r="W92" s="2543"/>
      <c r="X92" s="2543"/>
      <c r="Y92" s="2543"/>
      <c r="Z92" s="2045"/>
      <c r="AA92" s="2046"/>
      <c r="AB92" s="2047"/>
      <c r="AC92" s="2048"/>
      <c r="AD92" s="2047"/>
      <c r="AE92" s="2048"/>
      <c r="AF92" s="2542"/>
      <c r="AG92" s="2538"/>
      <c r="AH92" s="2538"/>
      <c r="AI92" s="2542"/>
      <c r="AJ92" s="2538"/>
      <c r="AK92" s="2538"/>
      <c r="AL92" s="1992"/>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c r="BG92" s="1639"/>
    </row>
    <row customHeight="1" ht="0.75">
      <c r="A93" s="1170" t="s">
        <v>1261</v>
      </c>
      <c r="B93" s="1170"/>
      <c r="C93" s="1170"/>
      <c r="D93" s="1164"/>
      <c r="E93" s="1174"/>
      <c r="F93" s="2540"/>
      <c r="G93" s="2519"/>
      <c r="H93" s="2544"/>
      <c r="I93" s="2545"/>
      <c r="J93" s="2546"/>
      <c r="K93" s="2546"/>
      <c r="L93" s="2538"/>
      <c r="M93" s="2272"/>
      <c r="N93" s="2547"/>
      <c r="O93" s="2548"/>
      <c r="P93" s="2594"/>
      <c r="Q93" s="2543"/>
      <c r="R93" s="2543"/>
      <c r="S93" s="2543"/>
      <c r="T93" s="2543"/>
      <c r="U93" s="2543"/>
      <c r="V93" s="2543"/>
      <c r="W93" s="2543"/>
      <c r="X93" s="2543"/>
      <c r="Y93" s="2543"/>
      <c r="Z93" s="2041"/>
      <c r="AA93" s="2042"/>
      <c r="AB93" s="2049"/>
      <c r="AC93" s="2043"/>
      <c r="AD93" s="2043"/>
      <c r="AE93" s="2050"/>
      <c r="AF93" s="2542"/>
      <c r="AG93" s="2538"/>
      <c r="AH93" s="2538"/>
      <c r="AI93" s="2542"/>
      <c r="AJ93" s="2538"/>
      <c r="AK93" s="2538"/>
      <c r="AL93" s="1992"/>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c r="BG93" s="1639"/>
    </row>
    <row customHeight="1" ht="0.75">
      <c r="A94" s="1170" t="s">
        <v>1261</v>
      </c>
      <c r="B94" s="1170"/>
      <c r="C94" s="1170"/>
      <c r="D94" s="1164"/>
      <c r="E94" s="1174"/>
      <c r="F94" s="2540"/>
      <c r="G94" s="2519"/>
      <c r="H94" s="2544"/>
      <c r="I94" s="2545"/>
      <c r="J94" s="2546"/>
      <c r="K94" s="2546"/>
      <c r="L94" s="2538"/>
      <c r="M94" s="2272"/>
      <c r="N94" s="2042"/>
      <c r="O94" s="2042"/>
      <c r="P94" s="2049"/>
      <c r="Q94" s="2042"/>
      <c r="R94" s="2042"/>
      <c r="S94" s="2042"/>
      <c r="T94" s="2042"/>
      <c r="U94" s="2042"/>
      <c r="V94" s="2042"/>
      <c r="W94" s="2042"/>
      <c r="X94" s="2042"/>
      <c r="Y94" s="2042"/>
      <c r="Z94" s="2042"/>
      <c r="AA94" s="2042"/>
      <c r="AB94" s="2042"/>
      <c r="AC94" s="2042"/>
      <c r="AD94" s="2042"/>
      <c r="AE94" s="2051"/>
      <c r="AF94" s="2542"/>
      <c r="AG94" s="2538"/>
      <c r="AH94" s="2538"/>
      <c r="AI94" s="2542"/>
      <c r="AJ94" s="2538"/>
      <c r="AK94" s="2538"/>
      <c r="AL94" s="1992"/>
      <c r="AM94" s="1827"/>
      <c r="AN94" s="1827"/>
      <c r="AO94" s="1827"/>
      <c r="AP94" s="1827"/>
      <c r="AQ94" s="1827"/>
      <c r="AR94" s="1827"/>
      <c r="AS94" s="1827"/>
      <c r="AT94" s="1827"/>
      <c r="AU94" s="1827"/>
      <c r="AV94" s="1827"/>
      <c r="AW94" s="1827"/>
      <c r="AX94" s="1827"/>
      <c r="AY94" s="1827"/>
      <c r="AZ94" s="1827"/>
      <c r="BA94" s="1827"/>
      <c r="BB94" s="1827"/>
      <c r="BC94" s="1827"/>
      <c r="BD94" s="1827"/>
      <c r="BE94" s="1827"/>
      <c r="BF94" s="1827"/>
      <c r="BG94" s="1639"/>
    </row>
    <row customHeight="1" ht="12">
      <c r="A95" s="1170" t="s">
        <v>1261</v>
      </c>
      <c r="B95" s="1170"/>
      <c r="C95" s="1170"/>
      <c r="D95" s="1164"/>
      <c r="E95" s="1174"/>
      <c r="F95" s="2541"/>
      <c r="G95" s="1194"/>
      <c r="H95" s="1194"/>
      <c r="I95" s="2539" t="s">
        <v>1321</v>
      </c>
      <c r="J95" s="2539"/>
      <c r="K95" s="2539"/>
      <c r="L95" s="1177"/>
      <c r="M95" s="1177"/>
      <c r="N95" s="1178"/>
      <c r="O95" s="1178"/>
      <c r="P95" s="1178"/>
      <c r="Q95" s="1178"/>
      <c r="R95" s="1178"/>
      <c r="S95" s="1178"/>
      <c r="T95" s="1178"/>
      <c r="U95" s="1178"/>
      <c r="V95" s="1178"/>
      <c r="W95" s="1178"/>
      <c r="X95" s="1178"/>
      <c r="Y95" s="1178"/>
      <c r="Z95" s="1178"/>
      <c r="AA95" s="1178"/>
      <c r="AB95" s="1178"/>
      <c r="AC95" s="1178"/>
      <c r="AD95" s="1178"/>
      <c r="AE95" s="1178"/>
      <c r="AF95" s="1178"/>
      <c r="AG95" s="1177"/>
      <c r="AH95" s="1177"/>
      <c r="AI95" s="1178"/>
      <c r="AJ95" s="1177"/>
      <c r="AK95" s="1178"/>
      <c r="AL95" s="1992"/>
      <c r="AM95" s="1827"/>
      <c r="AN95" s="1827"/>
      <c r="AO95" s="1827"/>
      <c r="AP95" s="1827"/>
      <c r="AQ95" s="1827"/>
      <c r="AR95" s="1827"/>
      <c r="AS95" s="1827"/>
      <c r="AT95" s="1827"/>
      <c r="AU95" s="1827"/>
      <c r="AV95" s="1827"/>
      <c r="AW95" s="1827"/>
      <c r="AX95" s="1827"/>
      <c r="AY95" s="1827"/>
      <c r="AZ95" s="1827"/>
      <c r="BA95" s="1827"/>
      <c r="BB95" s="1827"/>
      <c r="BC95" s="1827"/>
      <c r="BD95" s="1827"/>
      <c r="BE95" s="1827"/>
      <c r="BF95" s="1827"/>
      <c r="BG95" s="1639"/>
    </row>
    <row customHeight="1" ht="0.75">
      <c r="A96" s="1170" t="s">
        <v>1261</v>
      </c>
      <c r="B96" s="1170"/>
      <c r="C96" s="1170"/>
      <c r="D96" s="1164"/>
      <c r="E96" s="1174"/>
      <c r="F96" s="2540">
        <v>2026</v>
      </c>
      <c r="G96" s="2519"/>
      <c r="H96" s="2544" t="s">
        <v>394</v>
      </c>
      <c r="I96" s="2545"/>
      <c r="J96" s="2546"/>
      <c r="K96" s="2546"/>
      <c r="L96" s="2538"/>
      <c r="M96" s="2272"/>
      <c r="N96" s="2040"/>
      <c r="O96" s="2039"/>
      <c r="P96" s="2040"/>
      <c r="Q96" s="2040"/>
      <c r="R96" s="2040"/>
      <c r="S96" s="2040"/>
      <c r="T96" s="2040"/>
      <c r="U96" s="2040"/>
      <c r="V96" s="2040"/>
      <c r="W96" s="2040"/>
      <c r="X96" s="2040"/>
      <c r="Y96" s="2040"/>
      <c r="Z96" s="2040"/>
      <c r="AA96" s="2040"/>
      <c r="AB96" s="2040"/>
      <c r="AC96" s="2040"/>
      <c r="AD96" s="2040"/>
      <c r="AE96" s="2040"/>
      <c r="AF96" s="2542"/>
      <c r="AG96" s="2538"/>
      <c r="AH96" s="2538"/>
      <c r="AI96" s="2542"/>
      <c r="AJ96" s="2538"/>
      <c r="AK96" s="2538"/>
      <c r="AL96" s="1992"/>
      <c r="AM96" s="1827"/>
      <c r="AN96" s="1827"/>
      <c r="AO96" s="1827"/>
      <c r="AP96" s="1827"/>
      <c r="AQ96" s="1827"/>
      <c r="AR96" s="1827"/>
      <c r="AS96" s="1827"/>
      <c r="AT96" s="1827"/>
      <c r="AU96" s="1827"/>
      <c r="AV96" s="1827"/>
      <c r="AW96" s="1827"/>
      <c r="AX96" s="1827"/>
      <c r="AY96" s="1827"/>
      <c r="AZ96" s="1827"/>
      <c r="BA96" s="1827"/>
      <c r="BB96" s="1827"/>
      <c r="BC96" s="1827"/>
      <c r="BD96" s="1827"/>
      <c r="BE96" s="1827"/>
      <c r="BF96" s="1827"/>
      <c r="BG96" s="1639"/>
    </row>
    <row customHeight="1" ht="0.75">
      <c r="A97" s="1170" t="s">
        <v>1261</v>
      </c>
      <c r="B97" s="1170"/>
      <c r="C97" s="1170"/>
      <c r="D97" s="1164"/>
      <c r="E97" s="1174"/>
      <c r="F97" s="2540"/>
      <c r="G97" s="2519"/>
      <c r="H97" s="2544"/>
      <c r="I97" s="2545"/>
      <c r="J97" s="2546"/>
      <c r="K97" s="2546"/>
      <c r="L97" s="2538"/>
      <c r="M97" s="2272"/>
      <c r="N97" s="2547"/>
      <c r="O97" s="2548"/>
      <c r="P97" s="2592"/>
      <c r="Q97" s="2543"/>
      <c r="R97" s="2543"/>
      <c r="S97" s="2543"/>
      <c r="T97" s="2543"/>
      <c r="U97" s="2543"/>
      <c r="V97" s="2543"/>
      <c r="W97" s="2543"/>
      <c r="X97" s="2543"/>
      <c r="Y97" s="2543"/>
      <c r="Z97" s="2041"/>
      <c r="AA97" s="2042"/>
      <c r="AB97" s="2042"/>
      <c r="AC97" s="2043"/>
      <c r="AD97" s="2043"/>
      <c r="AE97" s="2044"/>
      <c r="AF97" s="2542"/>
      <c r="AG97" s="2538"/>
      <c r="AH97" s="2538"/>
      <c r="AI97" s="2542"/>
      <c r="AJ97" s="2538"/>
      <c r="AK97" s="2538"/>
      <c r="AL97" s="1992"/>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c r="BG97" s="1639"/>
    </row>
    <row customHeight="1" ht="0.75">
      <c r="A98" s="1170" t="s">
        <v>1261</v>
      </c>
      <c r="B98" s="1170"/>
      <c r="C98" s="1170"/>
      <c r="D98" s="1164"/>
      <c r="E98" s="1174"/>
      <c r="F98" s="2540"/>
      <c r="G98" s="2519"/>
      <c r="H98" s="2544"/>
      <c r="I98" s="2545"/>
      <c r="J98" s="2546"/>
      <c r="K98" s="2546"/>
      <c r="L98" s="2538"/>
      <c r="M98" s="2272"/>
      <c r="N98" s="2547"/>
      <c r="O98" s="2548"/>
      <c r="P98" s="2593"/>
      <c r="Q98" s="2543"/>
      <c r="R98" s="2543"/>
      <c r="S98" s="2543"/>
      <c r="T98" s="2543"/>
      <c r="U98" s="2543"/>
      <c r="V98" s="2543"/>
      <c r="W98" s="2543"/>
      <c r="X98" s="2543"/>
      <c r="Y98" s="2543"/>
      <c r="Z98" s="2045"/>
      <c r="AA98" s="2046"/>
      <c r="AB98" s="2047"/>
      <c r="AC98" s="2048"/>
      <c r="AD98" s="2047"/>
      <c r="AE98" s="2048"/>
      <c r="AF98" s="2542"/>
      <c r="AG98" s="2538"/>
      <c r="AH98" s="2538"/>
      <c r="AI98" s="2542"/>
      <c r="AJ98" s="2538"/>
      <c r="AK98" s="2538"/>
      <c r="AL98" s="1992"/>
      <c r="AM98" s="1827"/>
      <c r="AN98" s="1827"/>
      <c r="AO98" s="1827"/>
      <c r="AP98" s="1827"/>
      <c r="AQ98" s="1827"/>
      <c r="AR98" s="1827"/>
      <c r="AS98" s="1827"/>
      <c r="AT98" s="1827"/>
      <c r="AU98" s="1827"/>
      <c r="AV98" s="1827"/>
      <c r="AW98" s="1827"/>
      <c r="AX98" s="1827"/>
      <c r="AY98" s="1827"/>
      <c r="AZ98" s="1827"/>
      <c r="BA98" s="1827"/>
      <c r="BB98" s="1827"/>
      <c r="BC98" s="1827"/>
      <c r="BD98" s="1827"/>
      <c r="BE98" s="1827"/>
      <c r="BF98" s="1827"/>
      <c r="BG98" s="1639"/>
    </row>
    <row customHeight="1" ht="0.75">
      <c r="A99" s="1170" t="s">
        <v>1261</v>
      </c>
      <c r="B99" s="1170"/>
      <c r="C99" s="1170"/>
      <c r="D99" s="1164"/>
      <c r="E99" s="1174"/>
      <c r="F99" s="2540"/>
      <c r="G99" s="2519"/>
      <c r="H99" s="2544"/>
      <c r="I99" s="2545"/>
      <c r="J99" s="2546"/>
      <c r="K99" s="2546"/>
      <c r="L99" s="2538"/>
      <c r="M99" s="2272"/>
      <c r="N99" s="2547"/>
      <c r="O99" s="2548"/>
      <c r="P99" s="2594"/>
      <c r="Q99" s="2543"/>
      <c r="R99" s="2543"/>
      <c r="S99" s="2543"/>
      <c r="T99" s="2543"/>
      <c r="U99" s="2543"/>
      <c r="V99" s="2543"/>
      <c r="W99" s="2543"/>
      <c r="X99" s="2543"/>
      <c r="Y99" s="2543"/>
      <c r="Z99" s="2041"/>
      <c r="AA99" s="2042"/>
      <c r="AB99" s="2049"/>
      <c r="AC99" s="2043"/>
      <c r="AD99" s="2043"/>
      <c r="AE99" s="2050"/>
      <c r="AF99" s="2542"/>
      <c r="AG99" s="2538"/>
      <c r="AH99" s="2538"/>
      <c r="AI99" s="2542"/>
      <c r="AJ99" s="2538"/>
      <c r="AK99" s="2538"/>
      <c r="AL99" s="1992"/>
      <c r="AM99" s="1827"/>
      <c r="AN99" s="1827"/>
      <c r="AO99" s="1827"/>
      <c r="AP99" s="1827"/>
      <c r="AQ99" s="1827"/>
      <c r="AR99" s="1827"/>
      <c r="AS99" s="1827"/>
      <c r="AT99" s="1827"/>
      <c r="AU99" s="1827"/>
      <c r="AV99" s="1827"/>
      <c r="AW99" s="1827"/>
      <c r="AX99" s="1827"/>
      <c r="AY99" s="1827"/>
      <c r="AZ99" s="1827"/>
      <c r="BA99" s="1827"/>
      <c r="BB99" s="1827"/>
      <c r="BC99" s="1827"/>
      <c r="BD99" s="1827"/>
      <c r="BE99" s="1827"/>
      <c r="BF99" s="1827"/>
      <c r="BG99" s="1639"/>
    </row>
    <row customHeight="1" ht="0.75">
      <c r="A100" s="1170" t="s">
        <v>1261</v>
      </c>
      <c r="B100" s="1170"/>
      <c r="C100" s="1170"/>
      <c r="D100" s="1164"/>
      <c r="E100" s="1174"/>
      <c r="F100" s="2540"/>
      <c r="G100" s="2519"/>
      <c r="H100" s="2544"/>
      <c r="I100" s="2545"/>
      <c r="J100" s="2546"/>
      <c r="K100" s="2546"/>
      <c r="L100" s="2538"/>
      <c r="M100" s="2272"/>
      <c r="N100" s="2042"/>
      <c r="O100" s="2042"/>
      <c r="P100" s="2049"/>
      <c r="Q100" s="2042"/>
      <c r="R100" s="2042"/>
      <c r="S100" s="2042"/>
      <c r="T100" s="2042"/>
      <c r="U100" s="2042"/>
      <c r="V100" s="2042"/>
      <c r="W100" s="2042"/>
      <c r="X100" s="2042"/>
      <c r="Y100" s="2042"/>
      <c r="Z100" s="2042"/>
      <c r="AA100" s="2042"/>
      <c r="AB100" s="2042"/>
      <c r="AC100" s="2042"/>
      <c r="AD100" s="2042"/>
      <c r="AE100" s="2051"/>
      <c r="AF100" s="2542"/>
      <c r="AG100" s="2538"/>
      <c r="AH100" s="2538"/>
      <c r="AI100" s="2542"/>
      <c r="AJ100" s="2538"/>
      <c r="AK100" s="2538"/>
      <c r="AL100" s="1992"/>
      <c r="AM100" s="1827"/>
      <c r="AN100" s="1827"/>
      <c r="AO100" s="1827"/>
      <c r="AP100" s="1827"/>
      <c r="AQ100" s="1827"/>
      <c r="AR100" s="1827"/>
      <c r="AS100" s="1827"/>
      <c r="AT100" s="1827"/>
      <c r="AU100" s="1827"/>
      <c r="AV100" s="1827"/>
      <c r="AW100" s="1827"/>
      <c r="AX100" s="1827"/>
      <c r="AY100" s="1827"/>
      <c r="AZ100" s="1827"/>
      <c r="BA100" s="1827"/>
      <c r="BB100" s="1827"/>
      <c r="BC100" s="1827"/>
      <c r="BD100" s="1827"/>
      <c r="BE100" s="1827"/>
      <c r="BF100" s="1827"/>
      <c r="BG100" s="1639"/>
    </row>
    <row customHeight="1" ht="12">
      <c r="A101" s="1170" t="s">
        <v>1261</v>
      </c>
      <c r="B101" s="1170"/>
      <c r="C101" s="1170"/>
      <c r="D101" s="1164"/>
      <c r="E101" s="1174"/>
      <c r="F101" s="2541"/>
      <c r="G101" s="1194"/>
      <c r="H101" s="1194"/>
      <c r="I101" s="2539" t="s">
        <v>1321</v>
      </c>
      <c r="J101" s="2539"/>
      <c r="K101" s="2539"/>
      <c r="L101" s="1177"/>
      <c r="M101" s="1177"/>
      <c r="N101" s="1178"/>
      <c r="O101" s="1178"/>
      <c r="P101" s="1178"/>
      <c r="Q101" s="1178"/>
      <c r="R101" s="1178"/>
      <c r="S101" s="1178"/>
      <c r="T101" s="1178"/>
      <c r="U101" s="1178"/>
      <c r="V101" s="1178"/>
      <c r="W101" s="1178"/>
      <c r="X101" s="1178"/>
      <c r="Y101" s="1178"/>
      <c r="Z101" s="1178"/>
      <c r="AA101" s="1178"/>
      <c r="AB101" s="1178"/>
      <c r="AC101" s="1178"/>
      <c r="AD101" s="1178"/>
      <c r="AE101" s="1178"/>
      <c r="AF101" s="1178"/>
      <c r="AG101" s="1177"/>
      <c r="AH101" s="1177"/>
      <c r="AI101" s="1178"/>
      <c r="AJ101" s="1177"/>
      <c r="AK101" s="1178"/>
      <c r="AL101" s="1992"/>
      <c r="AM101" s="1827"/>
      <c r="AN101" s="1827"/>
      <c r="AO101" s="1827"/>
      <c r="AP101" s="1827"/>
      <c r="AQ101" s="1827"/>
      <c r="AR101" s="1827"/>
      <c r="AS101" s="1827"/>
      <c r="AT101" s="1827"/>
      <c r="AU101" s="1827"/>
      <c r="AV101" s="1827"/>
      <c r="AW101" s="1827"/>
      <c r="AX101" s="1827"/>
      <c r="AY101" s="1827"/>
      <c r="AZ101" s="1827"/>
      <c r="BA101" s="1827"/>
      <c r="BB101" s="1827"/>
      <c r="BC101" s="1827"/>
      <c r="BD101" s="1827"/>
      <c r="BE101" s="1827"/>
      <c r="BF101" s="1827"/>
      <c r="BG101" s="1639"/>
    </row>
    <row customHeight="1" ht="0.75">
      <c r="A102" s="1170" t="s">
        <v>1261</v>
      </c>
      <c r="B102" s="1170"/>
      <c r="C102" s="1170"/>
      <c r="D102" s="1164"/>
      <c r="E102" s="1174"/>
      <c r="F102" s="2540">
        <v>2027</v>
      </c>
      <c r="G102" s="2519"/>
      <c r="H102" s="2544" t="s">
        <v>394</v>
      </c>
      <c r="I102" s="2545"/>
      <c r="J102" s="2546"/>
      <c r="K102" s="2546"/>
      <c r="L102" s="2538"/>
      <c r="M102" s="2272"/>
      <c r="N102" s="2040"/>
      <c r="O102" s="2039"/>
      <c r="P102" s="2040"/>
      <c r="Q102" s="2040"/>
      <c r="R102" s="2040"/>
      <c r="S102" s="2040"/>
      <c r="T102" s="2040"/>
      <c r="U102" s="2040"/>
      <c r="V102" s="2040"/>
      <c r="W102" s="2040"/>
      <c r="X102" s="2040"/>
      <c r="Y102" s="2040"/>
      <c r="Z102" s="2040"/>
      <c r="AA102" s="2040"/>
      <c r="AB102" s="2040"/>
      <c r="AC102" s="2040"/>
      <c r="AD102" s="2040"/>
      <c r="AE102" s="2040"/>
      <c r="AF102" s="2542"/>
      <c r="AG102" s="2538"/>
      <c r="AH102" s="2538"/>
      <c r="AI102" s="2542"/>
      <c r="AJ102" s="2538"/>
      <c r="AK102" s="2538"/>
      <c r="AL102" s="1992"/>
      <c r="AM102" s="1827"/>
      <c r="AN102" s="1827"/>
      <c r="AO102" s="1827"/>
      <c r="AP102" s="1827"/>
      <c r="AQ102" s="1827"/>
      <c r="AR102" s="1827"/>
      <c r="AS102" s="1827"/>
      <c r="AT102" s="1827"/>
      <c r="AU102" s="1827"/>
      <c r="AV102" s="1827"/>
      <c r="AW102" s="1827"/>
      <c r="AX102" s="1827"/>
      <c r="AY102" s="1827"/>
      <c r="AZ102" s="1827"/>
      <c r="BA102" s="1827"/>
      <c r="BB102" s="1827"/>
      <c r="BC102" s="1827"/>
      <c r="BD102" s="1827"/>
      <c r="BE102" s="1827"/>
      <c r="BF102" s="1827"/>
      <c r="BG102" s="1639"/>
    </row>
    <row customHeight="1" ht="0.75">
      <c r="A103" s="1170" t="s">
        <v>1261</v>
      </c>
      <c r="B103" s="1170"/>
      <c r="C103" s="1170"/>
      <c r="D103" s="1164"/>
      <c r="E103" s="1174"/>
      <c r="F103" s="2540"/>
      <c r="G103" s="2519"/>
      <c r="H103" s="2544"/>
      <c r="I103" s="2545"/>
      <c r="J103" s="2546"/>
      <c r="K103" s="2546"/>
      <c r="L103" s="2538"/>
      <c r="M103" s="2272"/>
      <c r="N103" s="2547"/>
      <c r="O103" s="2548"/>
      <c r="P103" s="2592"/>
      <c r="Q103" s="2543"/>
      <c r="R103" s="2543"/>
      <c r="S103" s="2543"/>
      <c r="T103" s="2543"/>
      <c r="U103" s="2543"/>
      <c r="V103" s="2543"/>
      <c r="W103" s="2543"/>
      <c r="X103" s="2543"/>
      <c r="Y103" s="2543"/>
      <c r="Z103" s="2041"/>
      <c r="AA103" s="2042"/>
      <c r="AB103" s="2042"/>
      <c r="AC103" s="2043"/>
      <c r="AD103" s="2043"/>
      <c r="AE103" s="2044"/>
      <c r="AF103" s="2542"/>
      <c r="AG103" s="2538"/>
      <c r="AH103" s="2538"/>
      <c r="AI103" s="2542"/>
      <c r="AJ103" s="2538"/>
      <c r="AK103" s="2538"/>
      <c r="AL103" s="1992"/>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c r="BG103" s="1639"/>
    </row>
    <row customHeight="1" ht="0.75">
      <c r="A104" s="1170" t="s">
        <v>1261</v>
      </c>
      <c r="B104" s="1170"/>
      <c r="C104" s="1170"/>
      <c r="D104" s="1164"/>
      <c r="E104" s="1174"/>
      <c r="F104" s="2540"/>
      <c r="G104" s="2519"/>
      <c r="H104" s="2544"/>
      <c r="I104" s="2545"/>
      <c r="J104" s="2546"/>
      <c r="K104" s="2546"/>
      <c r="L104" s="2538"/>
      <c r="M104" s="2272"/>
      <c r="N104" s="2547"/>
      <c r="O104" s="2548"/>
      <c r="P104" s="2593"/>
      <c r="Q104" s="2543"/>
      <c r="R104" s="2543"/>
      <c r="S104" s="2543"/>
      <c r="T104" s="2543"/>
      <c r="U104" s="2543"/>
      <c r="V104" s="2543"/>
      <c r="W104" s="2543"/>
      <c r="X104" s="2543"/>
      <c r="Y104" s="2543"/>
      <c r="Z104" s="2045"/>
      <c r="AA104" s="2046"/>
      <c r="AB104" s="2047"/>
      <c r="AC104" s="2048"/>
      <c r="AD104" s="2047"/>
      <c r="AE104" s="2048"/>
      <c r="AF104" s="2542"/>
      <c r="AG104" s="2538"/>
      <c r="AH104" s="2538"/>
      <c r="AI104" s="2542"/>
      <c r="AJ104" s="2538"/>
      <c r="AK104" s="2538"/>
      <c r="AL104" s="1992"/>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c r="BG104" s="1639"/>
    </row>
    <row customHeight="1" ht="0.75">
      <c r="A105" s="1170" t="s">
        <v>1261</v>
      </c>
      <c r="B105" s="1170"/>
      <c r="C105" s="1170"/>
      <c r="D105" s="1164"/>
      <c r="E105" s="1174"/>
      <c r="F105" s="2540"/>
      <c r="G105" s="2519"/>
      <c r="H105" s="2544"/>
      <c r="I105" s="2545"/>
      <c r="J105" s="2546"/>
      <c r="K105" s="2546"/>
      <c r="L105" s="2538"/>
      <c r="M105" s="2272"/>
      <c r="N105" s="2547"/>
      <c r="O105" s="2548"/>
      <c r="P105" s="2594"/>
      <c r="Q105" s="2543"/>
      <c r="R105" s="2543"/>
      <c r="S105" s="2543"/>
      <c r="T105" s="2543"/>
      <c r="U105" s="2543"/>
      <c r="V105" s="2543"/>
      <c r="W105" s="2543"/>
      <c r="X105" s="2543"/>
      <c r="Y105" s="2543"/>
      <c r="Z105" s="2041"/>
      <c r="AA105" s="2042"/>
      <c r="AB105" s="2049"/>
      <c r="AC105" s="2043"/>
      <c r="AD105" s="2043"/>
      <c r="AE105" s="2050"/>
      <c r="AF105" s="2542"/>
      <c r="AG105" s="2538"/>
      <c r="AH105" s="2538"/>
      <c r="AI105" s="2542"/>
      <c r="AJ105" s="2538"/>
      <c r="AK105" s="2538"/>
      <c r="AL105" s="1992"/>
      <c r="AM105" s="1827"/>
      <c r="AN105" s="1827"/>
      <c r="AO105" s="1827"/>
      <c r="AP105" s="1827"/>
      <c r="AQ105" s="1827"/>
      <c r="AR105" s="1827"/>
      <c r="AS105" s="1827"/>
      <c r="AT105" s="1827"/>
      <c r="AU105" s="1827"/>
      <c r="AV105" s="1827"/>
      <c r="AW105" s="1827"/>
      <c r="AX105" s="1827"/>
      <c r="AY105" s="1827"/>
      <c r="AZ105" s="1827"/>
      <c r="BA105" s="1827"/>
      <c r="BB105" s="1827"/>
      <c r="BC105" s="1827"/>
      <c r="BD105" s="1827"/>
      <c r="BE105" s="1827"/>
      <c r="BF105" s="1827"/>
      <c r="BG105" s="1639"/>
    </row>
    <row customHeight="1" ht="0.75">
      <c r="A106" s="1170" t="s">
        <v>1261</v>
      </c>
      <c r="B106" s="1170"/>
      <c r="C106" s="1170"/>
      <c r="D106" s="1164"/>
      <c r="E106" s="1174"/>
      <c r="F106" s="2540"/>
      <c r="G106" s="2519"/>
      <c r="H106" s="2544"/>
      <c r="I106" s="2545"/>
      <c r="J106" s="2546"/>
      <c r="K106" s="2546"/>
      <c r="L106" s="2538"/>
      <c r="M106" s="2272"/>
      <c r="N106" s="2042"/>
      <c r="O106" s="2042"/>
      <c r="P106" s="2049"/>
      <c r="Q106" s="2042"/>
      <c r="R106" s="2042"/>
      <c r="S106" s="2042"/>
      <c r="T106" s="2042"/>
      <c r="U106" s="2042"/>
      <c r="V106" s="2042"/>
      <c r="W106" s="2042"/>
      <c r="X106" s="2042"/>
      <c r="Y106" s="2042"/>
      <c r="Z106" s="2042"/>
      <c r="AA106" s="2042"/>
      <c r="AB106" s="2042"/>
      <c r="AC106" s="2042"/>
      <c r="AD106" s="2042"/>
      <c r="AE106" s="2051"/>
      <c r="AF106" s="2542"/>
      <c r="AG106" s="2538"/>
      <c r="AH106" s="2538"/>
      <c r="AI106" s="2542"/>
      <c r="AJ106" s="2538"/>
      <c r="AK106" s="2538"/>
      <c r="AL106" s="1992"/>
      <c r="AM106" s="1827"/>
      <c r="AN106" s="1827"/>
      <c r="AO106" s="1827"/>
      <c r="AP106" s="1827"/>
      <c r="AQ106" s="1827"/>
      <c r="AR106" s="1827"/>
      <c r="AS106" s="1827"/>
      <c r="AT106" s="1827"/>
      <c r="AU106" s="1827"/>
      <c r="AV106" s="1827"/>
      <c r="AW106" s="1827"/>
      <c r="AX106" s="1827"/>
      <c r="AY106" s="1827"/>
      <c r="AZ106" s="1827"/>
      <c r="BA106" s="1827"/>
      <c r="BB106" s="1827"/>
      <c r="BC106" s="1827"/>
      <c r="BD106" s="1827"/>
      <c r="BE106" s="1827"/>
      <c r="BF106" s="1827"/>
      <c r="BG106" s="1639"/>
    </row>
    <row customHeight="1" ht="12">
      <c r="A107" s="1170" t="s">
        <v>1261</v>
      </c>
      <c r="B107" s="1170"/>
      <c r="C107" s="1170"/>
      <c r="D107" s="1164"/>
      <c r="E107" s="1174"/>
      <c r="F107" s="2541"/>
      <c r="G107" s="1194"/>
      <c r="H107" s="1194"/>
      <c r="I107" s="2539" t="s">
        <v>1321</v>
      </c>
      <c r="J107" s="2539"/>
      <c r="K107" s="2539"/>
      <c r="L107" s="1177"/>
      <c r="M107" s="1177"/>
      <c r="N107" s="1178"/>
      <c r="O107" s="1178"/>
      <c r="P107" s="1178"/>
      <c r="Q107" s="1178"/>
      <c r="R107" s="1178"/>
      <c r="S107" s="1178"/>
      <c r="T107" s="1178"/>
      <c r="U107" s="1178"/>
      <c r="V107" s="1178"/>
      <c r="W107" s="1178"/>
      <c r="X107" s="1178"/>
      <c r="Y107" s="1178"/>
      <c r="Z107" s="1178"/>
      <c r="AA107" s="1178"/>
      <c r="AB107" s="1178"/>
      <c r="AC107" s="1178"/>
      <c r="AD107" s="1178"/>
      <c r="AE107" s="1178"/>
      <c r="AF107" s="1178"/>
      <c r="AG107" s="1177"/>
      <c r="AH107" s="1177"/>
      <c r="AI107" s="1178"/>
      <c r="AJ107" s="1177"/>
      <c r="AK107" s="1178"/>
      <c r="AL107" s="1992"/>
      <c r="AM107" s="1827"/>
      <c r="AN107" s="1827"/>
      <c r="AO107" s="1827"/>
      <c r="AP107" s="1827"/>
      <c r="AQ107" s="1827"/>
      <c r="AR107" s="1827"/>
      <c r="AS107" s="1827"/>
      <c r="AT107" s="1827"/>
      <c r="AU107" s="1827"/>
      <c r="AV107" s="1827"/>
      <c r="AW107" s="1827"/>
      <c r="AX107" s="1827"/>
      <c r="AY107" s="1827"/>
      <c r="AZ107" s="1827"/>
      <c r="BA107" s="1827"/>
      <c r="BB107" s="1827"/>
      <c r="BC107" s="1827"/>
      <c r="BD107" s="1827"/>
      <c r="BE107" s="1827"/>
      <c r="BF107" s="1827"/>
      <c r="BG107" s="1639"/>
    </row>
    <row customHeight="1" ht="0.75">
      <c r="A108" s="1170" t="s">
        <v>1261</v>
      </c>
      <c r="B108" s="1170"/>
      <c r="C108" s="1170"/>
      <c r="D108" s="1164"/>
      <c r="E108" s="1174"/>
      <c r="F108" s="2540">
        <v>2028</v>
      </c>
      <c r="G108" s="2519"/>
      <c r="H108" s="2544" t="s">
        <v>394</v>
      </c>
      <c r="I108" s="2545"/>
      <c r="J108" s="2546"/>
      <c r="K108" s="2546"/>
      <c r="L108" s="2538"/>
      <c r="M108" s="2272"/>
      <c r="N108" s="2040"/>
      <c r="O108" s="2039"/>
      <c r="P108" s="2040"/>
      <c r="Q108" s="2040"/>
      <c r="R108" s="2040"/>
      <c r="S108" s="2040"/>
      <c r="T108" s="2040"/>
      <c r="U108" s="2040"/>
      <c r="V108" s="2040"/>
      <c r="W108" s="2040"/>
      <c r="X108" s="2040"/>
      <c r="Y108" s="2040"/>
      <c r="Z108" s="2040"/>
      <c r="AA108" s="2040"/>
      <c r="AB108" s="2040"/>
      <c r="AC108" s="2040"/>
      <c r="AD108" s="2040"/>
      <c r="AE108" s="2040"/>
      <c r="AF108" s="2542"/>
      <c r="AG108" s="2538"/>
      <c r="AH108" s="2538"/>
      <c r="AI108" s="2542"/>
      <c r="AJ108" s="2538"/>
      <c r="AK108" s="2538"/>
      <c r="AL108" s="1992"/>
      <c r="AM108" s="1827"/>
      <c r="AN108" s="1827"/>
      <c r="AO108" s="1827"/>
      <c r="AP108" s="1827"/>
      <c r="AQ108" s="1827"/>
      <c r="AR108" s="1827"/>
      <c r="AS108" s="1827"/>
      <c r="AT108" s="1827"/>
      <c r="AU108" s="1827"/>
      <c r="AV108" s="1827"/>
      <c r="AW108" s="1827"/>
      <c r="AX108" s="1827"/>
      <c r="AY108" s="1827"/>
      <c r="AZ108" s="1827"/>
      <c r="BA108" s="1827"/>
      <c r="BB108" s="1827"/>
      <c r="BC108" s="1827"/>
      <c r="BD108" s="1827"/>
      <c r="BE108" s="1827"/>
      <c r="BF108" s="1827"/>
      <c r="BG108" s="1639"/>
    </row>
    <row customHeight="1" ht="0.75">
      <c r="A109" s="1170" t="s">
        <v>1261</v>
      </c>
      <c r="B109" s="1170"/>
      <c r="C109" s="1170"/>
      <c r="D109" s="1164"/>
      <c r="E109" s="1174"/>
      <c r="F109" s="2540"/>
      <c r="G109" s="2519"/>
      <c r="H109" s="2544"/>
      <c r="I109" s="2545"/>
      <c r="J109" s="2546"/>
      <c r="K109" s="2546"/>
      <c r="L109" s="2538"/>
      <c r="M109" s="2272"/>
      <c r="N109" s="2547"/>
      <c r="O109" s="2548"/>
      <c r="P109" s="2592"/>
      <c r="Q109" s="2543"/>
      <c r="R109" s="2543"/>
      <c r="S109" s="2543"/>
      <c r="T109" s="2543"/>
      <c r="U109" s="2543"/>
      <c r="V109" s="2543"/>
      <c r="W109" s="2543"/>
      <c r="X109" s="2543"/>
      <c r="Y109" s="2543"/>
      <c r="Z109" s="2041"/>
      <c r="AA109" s="2042"/>
      <c r="AB109" s="2042"/>
      <c r="AC109" s="2043"/>
      <c r="AD109" s="2043"/>
      <c r="AE109" s="2044"/>
      <c r="AF109" s="2542"/>
      <c r="AG109" s="2538"/>
      <c r="AH109" s="2538"/>
      <c r="AI109" s="2542"/>
      <c r="AJ109" s="2538"/>
      <c r="AK109" s="2538"/>
      <c r="AL109" s="1992"/>
      <c r="AM109" s="1827"/>
      <c r="AN109" s="1827"/>
      <c r="AO109" s="1827"/>
      <c r="AP109" s="1827"/>
      <c r="AQ109" s="1827"/>
      <c r="AR109" s="1827"/>
      <c r="AS109" s="1827"/>
      <c r="AT109" s="1827"/>
      <c r="AU109" s="1827"/>
      <c r="AV109" s="1827"/>
      <c r="AW109" s="1827"/>
      <c r="AX109" s="1827"/>
      <c r="AY109" s="1827"/>
      <c r="AZ109" s="1827"/>
      <c r="BA109" s="1827"/>
      <c r="BB109" s="1827"/>
      <c r="BC109" s="1827"/>
      <c r="BD109" s="1827"/>
      <c r="BE109" s="1827"/>
      <c r="BF109" s="1827"/>
      <c r="BG109" s="1639"/>
    </row>
    <row customHeight="1" ht="0.75">
      <c r="A110" s="1170" t="s">
        <v>1261</v>
      </c>
      <c r="B110" s="1170"/>
      <c r="C110" s="1170"/>
      <c r="D110" s="1164"/>
      <c r="E110" s="1174"/>
      <c r="F110" s="2540"/>
      <c r="G110" s="2519"/>
      <c r="H110" s="2544"/>
      <c r="I110" s="2545"/>
      <c r="J110" s="2546"/>
      <c r="K110" s="2546"/>
      <c r="L110" s="2538"/>
      <c r="M110" s="2272"/>
      <c r="N110" s="2547"/>
      <c r="O110" s="2548"/>
      <c r="P110" s="2593"/>
      <c r="Q110" s="2543"/>
      <c r="R110" s="2543"/>
      <c r="S110" s="2543"/>
      <c r="T110" s="2543"/>
      <c r="U110" s="2543"/>
      <c r="V110" s="2543"/>
      <c r="W110" s="2543"/>
      <c r="X110" s="2543"/>
      <c r="Y110" s="2543"/>
      <c r="Z110" s="2045"/>
      <c r="AA110" s="2046"/>
      <c r="AB110" s="2047"/>
      <c r="AC110" s="2048"/>
      <c r="AD110" s="2047"/>
      <c r="AE110" s="2048"/>
      <c r="AF110" s="2542"/>
      <c r="AG110" s="2538"/>
      <c r="AH110" s="2538"/>
      <c r="AI110" s="2542"/>
      <c r="AJ110" s="2538"/>
      <c r="AK110" s="2538"/>
      <c r="AL110" s="1992"/>
      <c r="AM110" s="1827"/>
      <c r="AN110" s="1827"/>
      <c r="AO110" s="1827"/>
      <c r="AP110" s="1827"/>
      <c r="AQ110" s="1827"/>
      <c r="AR110" s="1827"/>
      <c r="AS110" s="1827"/>
      <c r="AT110" s="1827"/>
      <c r="AU110" s="1827"/>
      <c r="AV110" s="1827"/>
      <c r="AW110" s="1827"/>
      <c r="AX110" s="1827"/>
      <c r="AY110" s="1827"/>
      <c r="AZ110" s="1827"/>
      <c r="BA110" s="1827"/>
      <c r="BB110" s="1827"/>
      <c r="BC110" s="1827"/>
      <c r="BD110" s="1827"/>
      <c r="BE110" s="1827"/>
      <c r="BF110" s="1827"/>
      <c r="BG110" s="1639"/>
    </row>
    <row customHeight="1" ht="0.75">
      <c r="A111" s="1170" t="s">
        <v>1261</v>
      </c>
      <c r="B111" s="1170"/>
      <c r="C111" s="1170"/>
      <c r="D111" s="1164"/>
      <c r="E111" s="1174"/>
      <c r="F111" s="2540"/>
      <c r="G111" s="2519"/>
      <c r="H111" s="2544"/>
      <c r="I111" s="2545"/>
      <c r="J111" s="2546"/>
      <c r="K111" s="2546"/>
      <c r="L111" s="2538"/>
      <c r="M111" s="2272"/>
      <c r="N111" s="2547"/>
      <c r="O111" s="2548"/>
      <c r="P111" s="2594"/>
      <c r="Q111" s="2543"/>
      <c r="R111" s="2543"/>
      <c r="S111" s="2543"/>
      <c r="T111" s="2543"/>
      <c r="U111" s="2543"/>
      <c r="V111" s="2543"/>
      <c r="W111" s="2543"/>
      <c r="X111" s="2543"/>
      <c r="Y111" s="2543"/>
      <c r="Z111" s="2041"/>
      <c r="AA111" s="2042"/>
      <c r="AB111" s="2049"/>
      <c r="AC111" s="2043"/>
      <c r="AD111" s="2043"/>
      <c r="AE111" s="2050"/>
      <c r="AF111" s="2542"/>
      <c r="AG111" s="2538"/>
      <c r="AH111" s="2538"/>
      <c r="AI111" s="2542"/>
      <c r="AJ111" s="2538"/>
      <c r="AK111" s="2538"/>
      <c r="AL111" s="1992"/>
      <c r="AM111" s="1827"/>
      <c r="AN111" s="1827"/>
      <c r="AO111" s="1827"/>
      <c r="AP111" s="1827"/>
      <c r="AQ111" s="1827"/>
      <c r="AR111" s="1827"/>
      <c r="AS111" s="1827"/>
      <c r="AT111" s="1827"/>
      <c r="AU111" s="1827"/>
      <c r="AV111" s="1827"/>
      <c r="AW111" s="1827"/>
      <c r="AX111" s="1827"/>
      <c r="AY111" s="1827"/>
      <c r="AZ111" s="1827"/>
      <c r="BA111" s="1827"/>
      <c r="BB111" s="1827"/>
      <c r="BC111" s="1827"/>
      <c r="BD111" s="1827"/>
      <c r="BE111" s="1827"/>
      <c r="BF111" s="1827"/>
      <c r="BG111" s="1639"/>
    </row>
    <row customHeight="1" ht="0.75">
      <c r="A112" s="1170" t="s">
        <v>1261</v>
      </c>
      <c r="B112" s="1170"/>
      <c r="C112" s="1170"/>
      <c r="D112" s="1164"/>
      <c r="E112" s="1174"/>
      <c r="F112" s="2540"/>
      <c r="G112" s="2519"/>
      <c r="H112" s="2544"/>
      <c r="I112" s="2545"/>
      <c r="J112" s="2546"/>
      <c r="K112" s="2546"/>
      <c r="L112" s="2538"/>
      <c r="M112" s="2272"/>
      <c r="N112" s="2042"/>
      <c r="O112" s="2042"/>
      <c r="P112" s="2049"/>
      <c r="Q112" s="2042"/>
      <c r="R112" s="2042"/>
      <c r="S112" s="2042"/>
      <c r="T112" s="2042"/>
      <c r="U112" s="2042"/>
      <c r="V112" s="2042"/>
      <c r="W112" s="2042"/>
      <c r="X112" s="2042"/>
      <c r="Y112" s="2042"/>
      <c r="Z112" s="2042"/>
      <c r="AA112" s="2042"/>
      <c r="AB112" s="2042"/>
      <c r="AC112" s="2042"/>
      <c r="AD112" s="2042"/>
      <c r="AE112" s="2051"/>
      <c r="AF112" s="2542"/>
      <c r="AG112" s="2538"/>
      <c r="AH112" s="2538"/>
      <c r="AI112" s="2542"/>
      <c r="AJ112" s="2538"/>
      <c r="AK112" s="2538"/>
      <c r="AL112" s="1992"/>
      <c r="AM112" s="1827"/>
      <c r="AN112" s="1827"/>
      <c r="AO112" s="1827"/>
      <c r="AP112" s="1827"/>
      <c r="AQ112" s="1827"/>
      <c r="AR112" s="1827"/>
      <c r="AS112" s="1827"/>
      <c r="AT112" s="1827"/>
      <c r="AU112" s="1827"/>
      <c r="AV112" s="1827"/>
      <c r="AW112" s="1827"/>
      <c r="AX112" s="1827"/>
      <c r="AY112" s="1827"/>
      <c r="AZ112" s="1827"/>
      <c r="BA112" s="1827"/>
      <c r="BB112" s="1827"/>
      <c r="BC112" s="1827"/>
      <c r="BD112" s="1827"/>
      <c r="BE112" s="1827"/>
      <c r="BF112" s="1827"/>
      <c r="BG112" s="1639"/>
    </row>
    <row customHeight="1" ht="12">
      <c r="A113" s="1170" t="s">
        <v>1261</v>
      </c>
      <c r="B113" s="1170"/>
      <c r="C113" s="1170"/>
      <c r="D113" s="1164"/>
      <c r="E113" s="1174"/>
      <c r="F113" s="2541"/>
      <c r="G113" s="1194"/>
      <c r="H113" s="1194"/>
      <c r="I113" s="2539" t="s">
        <v>1321</v>
      </c>
      <c r="J113" s="2539"/>
      <c r="K113" s="2539"/>
      <c r="L113" s="1177"/>
      <c r="M113" s="1177"/>
      <c r="N113" s="1178"/>
      <c r="O113" s="1178"/>
      <c r="P113" s="1178"/>
      <c r="Q113" s="1178"/>
      <c r="R113" s="1178"/>
      <c r="S113" s="1178"/>
      <c r="T113" s="1178"/>
      <c r="U113" s="1178"/>
      <c r="V113" s="1178"/>
      <c r="W113" s="1178"/>
      <c r="X113" s="1178"/>
      <c r="Y113" s="1178"/>
      <c r="Z113" s="1178"/>
      <c r="AA113" s="1178"/>
      <c r="AB113" s="1178"/>
      <c r="AC113" s="1178"/>
      <c r="AD113" s="1178"/>
      <c r="AE113" s="1178"/>
      <c r="AF113" s="1178"/>
      <c r="AG113" s="1177"/>
      <c r="AH113" s="1177"/>
      <c r="AI113" s="1178"/>
      <c r="AJ113" s="1177"/>
      <c r="AK113" s="1178"/>
      <c r="AL113" s="1992"/>
      <c r="AM113" s="1827"/>
      <c r="AN113" s="1827"/>
      <c r="AO113" s="1827"/>
      <c r="AP113" s="1827"/>
      <c r="AQ113" s="1827"/>
      <c r="AR113" s="1827"/>
      <c r="AS113" s="1827"/>
      <c r="AT113" s="1827"/>
      <c r="AU113" s="1827"/>
      <c r="AV113" s="1827"/>
      <c r="AW113" s="1827"/>
      <c r="AX113" s="1827"/>
      <c r="AY113" s="1827"/>
      <c r="AZ113" s="1827"/>
      <c r="BA113" s="1827"/>
      <c r="BB113" s="1827"/>
      <c r="BC113" s="1827"/>
      <c r="BD113" s="1827"/>
      <c r="BE113" s="1827"/>
      <c r="BF113" s="1827"/>
      <c r="BG113" s="1639"/>
    </row>
    <row customHeight="1" ht="0.75">
      <c r="A114" s="1170" t="s">
        <v>1261</v>
      </c>
      <c r="B114" s="1170"/>
      <c r="C114" s="1170"/>
      <c r="D114" s="1164"/>
      <c r="E114" s="1174"/>
      <c r="F114" s="2540">
        <v>2029</v>
      </c>
      <c r="G114" s="2519"/>
      <c r="H114" s="2544" t="s">
        <v>394</v>
      </c>
      <c r="I114" s="2545"/>
      <c r="J114" s="2546"/>
      <c r="K114" s="2546"/>
      <c r="L114" s="2538"/>
      <c r="M114" s="2272"/>
      <c r="N114" s="2040"/>
      <c r="O114" s="2039"/>
      <c r="P114" s="2040"/>
      <c r="Q114" s="2040"/>
      <c r="R114" s="2040"/>
      <c r="S114" s="2040"/>
      <c r="T114" s="2040"/>
      <c r="U114" s="2040"/>
      <c r="V114" s="2040"/>
      <c r="W114" s="2040"/>
      <c r="X114" s="2040"/>
      <c r="Y114" s="2040"/>
      <c r="Z114" s="2040"/>
      <c r="AA114" s="2040"/>
      <c r="AB114" s="2040"/>
      <c r="AC114" s="2040"/>
      <c r="AD114" s="2040"/>
      <c r="AE114" s="2040"/>
      <c r="AF114" s="2542"/>
      <c r="AG114" s="2538"/>
      <c r="AH114" s="2538"/>
      <c r="AI114" s="2542"/>
      <c r="AJ114" s="2538"/>
      <c r="AK114" s="2538"/>
      <c r="AL114" s="1992"/>
      <c r="AM114" s="1827"/>
      <c r="AN114" s="1827"/>
      <c r="AO114" s="1827"/>
      <c r="AP114" s="1827"/>
      <c r="AQ114" s="1827"/>
      <c r="AR114" s="1827"/>
      <c r="AS114" s="1827"/>
      <c r="AT114" s="1827"/>
      <c r="AU114" s="1827"/>
      <c r="AV114" s="1827"/>
      <c r="AW114" s="1827"/>
      <c r="AX114" s="1827"/>
      <c r="AY114" s="1827"/>
      <c r="AZ114" s="1827"/>
      <c r="BA114" s="1827"/>
      <c r="BB114" s="1827"/>
      <c r="BC114" s="1827"/>
      <c r="BD114" s="1827"/>
      <c r="BE114" s="1827"/>
      <c r="BF114" s="1827"/>
      <c r="BG114" s="1639"/>
    </row>
    <row customHeight="1" ht="0.75">
      <c r="A115" s="1170" t="s">
        <v>1261</v>
      </c>
      <c r="B115" s="1170"/>
      <c r="C115" s="1170"/>
      <c r="D115" s="1164"/>
      <c r="E115" s="1174"/>
      <c r="F115" s="2540"/>
      <c r="G115" s="2519"/>
      <c r="H115" s="2544"/>
      <c r="I115" s="2545"/>
      <c r="J115" s="2546"/>
      <c r="K115" s="2546"/>
      <c r="L115" s="2538"/>
      <c r="M115" s="2272"/>
      <c r="N115" s="2547"/>
      <c r="O115" s="2548"/>
      <c r="P115" s="2592"/>
      <c r="Q115" s="2543"/>
      <c r="R115" s="2543"/>
      <c r="S115" s="2543"/>
      <c r="T115" s="2543"/>
      <c r="U115" s="2543"/>
      <c r="V115" s="2543"/>
      <c r="W115" s="2543"/>
      <c r="X115" s="2543"/>
      <c r="Y115" s="2543"/>
      <c r="Z115" s="2041"/>
      <c r="AA115" s="2042"/>
      <c r="AB115" s="2042"/>
      <c r="AC115" s="2043"/>
      <c r="AD115" s="2043"/>
      <c r="AE115" s="2044"/>
      <c r="AF115" s="2542"/>
      <c r="AG115" s="2538"/>
      <c r="AH115" s="2538"/>
      <c r="AI115" s="2542"/>
      <c r="AJ115" s="2538"/>
      <c r="AK115" s="2538"/>
      <c r="AL115" s="1992"/>
      <c r="AM115" s="1827"/>
      <c r="AN115" s="1827"/>
      <c r="AO115" s="1827"/>
      <c r="AP115" s="1827"/>
      <c r="AQ115" s="1827"/>
      <c r="AR115" s="1827"/>
      <c r="AS115" s="1827"/>
      <c r="AT115" s="1827"/>
      <c r="AU115" s="1827"/>
      <c r="AV115" s="1827"/>
      <c r="AW115" s="1827"/>
      <c r="AX115" s="1827"/>
      <c r="AY115" s="1827"/>
      <c r="AZ115" s="1827"/>
      <c r="BA115" s="1827"/>
      <c r="BB115" s="1827"/>
      <c r="BC115" s="1827"/>
      <c r="BD115" s="1827"/>
      <c r="BE115" s="1827"/>
      <c r="BF115" s="1827"/>
      <c r="BG115" s="1639"/>
    </row>
    <row customHeight="1" ht="0.75">
      <c r="A116" s="1170" t="s">
        <v>1261</v>
      </c>
      <c r="B116" s="1170"/>
      <c r="C116" s="1170"/>
      <c r="D116" s="1164"/>
      <c r="E116" s="1174"/>
      <c r="F116" s="2540"/>
      <c r="G116" s="2519"/>
      <c r="H116" s="2544"/>
      <c r="I116" s="2545"/>
      <c r="J116" s="2546"/>
      <c r="K116" s="2546"/>
      <c r="L116" s="2538"/>
      <c r="M116" s="2272"/>
      <c r="N116" s="2547"/>
      <c r="O116" s="2548"/>
      <c r="P116" s="2593"/>
      <c r="Q116" s="2543"/>
      <c r="R116" s="2543"/>
      <c r="S116" s="2543"/>
      <c r="T116" s="2543"/>
      <c r="U116" s="2543"/>
      <c r="V116" s="2543"/>
      <c r="W116" s="2543"/>
      <c r="X116" s="2543"/>
      <c r="Y116" s="2543"/>
      <c r="Z116" s="2045"/>
      <c r="AA116" s="2046"/>
      <c r="AB116" s="2047"/>
      <c r="AC116" s="2048"/>
      <c r="AD116" s="2047"/>
      <c r="AE116" s="2048"/>
      <c r="AF116" s="2542"/>
      <c r="AG116" s="2538"/>
      <c r="AH116" s="2538"/>
      <c r="AI116" s="2542"/>
      <c r="AJ116" s="2538"/>
      <c r="AK116" s="2538"/>
      <c r="AL116" s="1992"/>
      <c r="AM116" s="1827"/>
      <c r="AN116" s="1827"/>
      <c r="AO116" s="1827"/>
      <c r="AP116" s="1827"/>
      <c r="AQ116" s="1827"/>
      <c r="AR116" s="1827"/>
      <c r="AS116" s="1827"/>
      <c r="AT116" s="1827"/>
      <c r="AU116" s="1827"/>
      <c r="AV116" s="1827"/>
      <c r="AW116" s="1827"/>
      <c r="AX116" s="1827"/>
      <c r="AY116" s="1827"/>
      <c r="AZ116" s="1827"/>
      <c r="BA116" s="1827"/>
      <c r="BB116" s="1827"/>
      <c r="BC116" s="1827"/>
      <c r="BD116" s="1827"/>
      <c r="BE116" s="1827"/>
      <c r="BF116" s="1827"/>
      <c r="BG116" s="1639"/>
    </row>
    <row customHeight="1" ht="0.75">
      <c r="A117" s="1170" t="s">
        <v>1261</v>
      </c>
      <c r="B117" s="1170"/>
      <c r="C117" s="1170"/>
      <c r="D117" s="1164"/>
      <c r="E117" s="1174"/>
      <c r="F117" s="2540"/>
      <c r="G117" s="2519"/>
      <c r="H117" s="2544"/>
      <c r="I117" s="2545"/>
      <c r="J117" s="2546"/>
      <c r="K117" s="2546"/>
      <c r="L117" s="2538"/>
      <c r="M117" s="2272"/>
      <c r="N117" s="2547"/>
      <c r="O117" s="2548"/>
      <c r="P117" s="2594"/>
      <c r="Q117" s="2543"/>
      <c r="R117" s="2543"/>
      <c r="S117" s="2543"/>
      <c r="T117" s="2543"/>
      <c r="U117" s="2543"/>
      <c r="V117" s="2543"/>
      <c r="W117" s="2543"/>
      <c r="X117" s="2543"/>
      <c r="Y117" s="2543"/>
      <c r="Z117" s="2041"/>
      <c r="AA117" s="2042"/>
      <c r="AB117" s="2049"/>
      <c r="AC117" s="2043"/>
      <c r="AD117" s="2043"/>
      <c r="AE117" s="2050"/>
      <c r="AF117" s="2542"/>
      <c r="AG117" s="2538"/>
      <c r="AH117" s="2538"/>
      <c r="AI117" s="2542"/>
      <c r="AJ117" s="2538"/>
      <c r="AK117" s="2538"/>
      <c r="AL117" s="1992"/>
      <c r="AM117" s="1827"/>
      <c r="AN117" s="1827"/>
      <c r="AO117" s="1827"/>
      <c r="AP117" s="1827"/>
      <c r="AQ117" s="1827"/>
      <c r="AR117" s="1827"/>
      <c r="AS117" s="1827"/>
      <c r="AT117" s="1827"/>
      <c r="AU117" s="1827"/>
      <c r="AV117" s="1827"/>
      <c r="AW117" s="1827"/>
      <c r="AX117" s="1827"/>
      <c r="AY117" s="1827"/>
      <c r="AZ117" s="1827"/>
      <c r="BA117" s="1827"/>
      <c r="BB117" s="1827"/>
      <c r="BC117" s="1827"/>
      <c r="BD117" s="1827"/>
      <c r="BE117" s="1827"/>
      <c r="BF117" s="1827"/>
      <c r="BG117" s="1639"/>
    </row>
    <row customHeight="1" ht="0.75">
      <c r="A118" s="1170" t="s">
        <v>1261</v>
      </c>
      <c r="B118" s="1170"/>
      <c r="C118" s="1170"/>
      <c r="D118" s="1164"/>
      <c r="E118" s="1174"/>
      <c r="F118" s="2540"/>
      <c r="G118" s="2519"/>
      <c r="H118" s="2544"/>
      <c r="I118" s="2545"/>
      <c r="J118" s="2546"/>
      <c r="K118" s="2546"/>
      <c r="L118" s="2538"/>
      <c r="M118" s="2272"/>
      <c r="N118" s="2042"/>
      <c r="O118" s="2042"/>
      <c r="P118" s="2049"/>
      <c r="Q118" s="2042"/>
      <c r="R118" s="2042"/>
      <c r="S118" s="2042"/>
      <c r="T118" s="2042"/>
      <c r="U118" s="2042"/>
      <c r="V118" s="2042"/>
      <c r="W118" s="2042"/>
      <c r="X118" s="2042"/>
      <c r="Y118" s="2042"/>
      <c r="Z118" s="2042"/>
      <c r="AA118" s="2042"/>
      <c r="AB118" s="2042"/>
      <c r="AC118" s="2042"/>
      <c r="AD118" s="2042"/>
      <c r="AE118" s="2051"/>
      <c r="AF118" s="2542"/>
      <c r="AG118" s="2538"/>
      <c r="AH118" s="2538"/>
      <c r="AI118" s="2542"/>
      <c r="AJ118" s="2538"/>
      <c r="AK118" s="2538"/>
      <c r="AL118" s="1992"/>
      <c r="AM118" s="1827"/>
      <c r="AN118" s="1827"/>
      <c r="AO118" s="1827"/>
      <c r="AP118" s="1827"/>
      <c r="AQ118" s="1827"/>
      <c r="AR118" s="1827"/>
      <c r="AS118" s="1827"/>
      <c r="AT118" s="1827"/>
      <c r="AU118" s="1827"/>
      <c r="AV118" s="1827"/>
      <c r="AW118" s="1827"/>
      <c r="AX118" s="1827"/>
      <c r="AY118" s="1827"/>
      <c r="AZ118" s="1827"/>
      <c r="BA118" s="1827"/>
      <c r="BB118" s="1827"/>
      <c r="BC118" s="1827"/>
      <c r="BD118" s="1827"/>
      <c r="BE118" s="1827"/>
      <c r="BF118" s="1827"/>
      <c r="BG118" s="1639"/>
    </row>
    <row customHeight="1" ht="12">
      <c r="A119" s="1170" t="s">
        <v>1261</v>
      </c>
      <c r="B119" s="1170"/>
      <c r="C119" s="1170"/>
      <c r="D119" s="1164"/>
      <c r="E119" s="1174"/>
      <c r="F119" s="2541"/>
      <c r="G119" s="1194"/>
      <c r="H119" s="1194"/>
      <c r="I119" s="2539" t="s">
        <v>1321</v>
      </c>
      <c r="J119" s="2539"/>
      <c r="K119" s="2539"/>
      <c r="L119" s="1177"/>
      <c r="M119" s="1177"/>
      <c r="N119" s="1178"/>
      <c r="O119" s="1178"/>
      <c r="P119" s="1178"/>
      <c r="Q119" s="1178"/>
      <c r="R119" s="1178"/>
      <c r="S119" s="1178"/>
      <c r="T119" s="1178"/>
      <c r="U119" s="1178"/>
      <c r="V119" s="1178"/>
      <c r="W119" s="1178"/>
      <c r="X119" s="1178"/>
      <c r="Y119" s="1178"/>
      <c r="Z119" s="1178"/>
      <c r="AA119" s="1178"/>
      <c r="AB119" s="1178"/>
      <c r="AC119" s="1178"/>
      <c r="AD119" s="1178"/>
      <c r="AE119" s="1178"/>
      <c r="AF119" s="1178"/>
      <c r="AG119" s="1177"/>
      <c r="AH119" s="1177"/>
      <c r="AI119" s="1178"/>
      <c r="AJ119" s="1177"/>
      <c r="AK119" s="1178"/>
      <c r="AL119" s="1992"/>
      <c r="AM119" s="1827"/>
      <c r="AN119" s="1827"/>
      <c r="AO119" s="1827"/>
      <c r="AP119" s="1827"/>
      <c r="AQ119" s="1827"/>
      <c r="AR119" s="1827"/>
      <c r="AS119" s="1827"/>
      <c r="AT119" s="1827"/>
      <c r="AU119" s="1827"/>
      <c r="AV119" s="1827"/>
      <c r="AW119" s="1827"/>
      <c r="AX119" s="1827"/>
      <c r="AY119" s="1827"/>
      <c r="AZ119" s="1827"/>
      <c r="BA119" s="1827"/>
      <c r="BB119" s="1827"/>
      <c r="BC119" s="1827"/>
      <c r="BD119" s="1827"/>
      <c r="BE119" s="1827"/>
      <c r="BF119" s="1827"/>
      <c r="BG119" s="1639"/>
    </row>
    <row customHeight="1" ht="0.75">
      <c r="A120" s="1170" t="s">
        <v>1261</v>
      </c>
      <c r="B120" s="1170"/>
      <c r="C120" s="1170"/>
      <c r="D120" s="1164"/>
      <c r="E120" s="1174"/>
      <c r="F120" s="2540">
        <v>2030</v>
      </c>
      <c r="G120" s="2519"/>
      <c r="H120" s="2544" t="s">
        <v>394</v>
      </c>
      <c r="I120" s="2545"/>
      <c r="J120" s="2546"/>
      <c r="K120" s="2546"/>
      <c r="L120" s="2538"/>
      <c r="M120" s="2272"/>
      <c r="N120" s="2040"/>
      <c r="O120" s="2039"/>
      <c r="P120" s="2040"/>
      <c r="Q120" s="2040"/>
      <c r="R120" s="2040"/>
      <c r="S120" s="2040"/>
      <c r="T120" s="2040"/>
      <c r="U120" s="2040"/>
      <c r="V120" s="2040"/>
      <c r="W120" s="2040"/>
      <c r="X120" s="2040"/>
      <c r="Y120" s="2040"/>
      <c r="Z120" s="2040"/>
      <c r="AA120" s="2040"/>
      <c r="AB120" s="2040"/>
      <c r="AC120" s="2040"/>
      <c r="AD120" s="2040"/>
      <c r="AE120" s="2040"/>
      <c r="AF120" s="2542"/>
      <c r="AG120" s="2538"/>
      <c r="AH120" s="2538"/>
      <c r="AI120" s="2542"/>
      <c r="AJ120" s="2538"/>
      <c r="AK120" s="2538"/>
      <c r="AL120" s="1992"/>
      <c r="AM120" s="1827"/>
      <c r="AN120" s="1827"/>
      <c r="AO120" s="1827"/>
      <c r="AP120" s="1827"/>
      <c r="AQ120" s="1827"/>
      <c r="AR120" s="1827"/>
      <c r="AS120" s="1827"/>
      <c r="AT120" s="1827"/>
      <c r="AU120" s="1827"/>
      <c r="AV120" s="1827"/>
      <c r="AW120" s="1827"/>
      <c r="AX120" s="1827"/>
      <c r="AY120" s="1827"/>
      <c r="AZ120" s="1827"/>
      <c r="BA120" s="1827"/>
      <c r="BB120" s="1827"/>
      <c r="BC120" s="1827"/>
      <c r="BD120" s="1827"/>
      <c r="BE120" s="1827"/>
      <c r="BF120" s="1827"/>
      <c r="BG120" s="1639"/>
    </row>
    <row customHeight="1" ht="0.75">
      <c r="A121" s="1170" t="s">
        <v>1261</v>
      </c>
      <c r="B121" s="1170"/>
      <c r="C121" s="1170"/>
      <c r="D121" s="1164"/>
      <c r="E121" s="1174"/>
      <c r="F121" s="2540"/>
      <c r="G121" s="2519"/>
      <c r="H121" s="2544"/>
      <c r="I121" s="2545"/>
      <c r="J121" s="2546"/>
      <c r="K121" s="2546"/>
      <c r="L121" s="2538"/>
      <c r="M121" s="2272"/>
      <c r="N121" s="2547"/>
      <c r="O121" s="2548"/>
      <c r="P121" s="2592"/>
      <c r="Q121" s="2543"/>
      <c r="R121" s="2543"/>
      <c r="S121" s="2543"/>
      <c r="T121" s="2543"/>
      <c r="U121" s="2543"/>
      <c r="V121" s="2543"/>
      <c r="W121" s="2543"/>
      <c r="X121" s="2543"/>
      <c r="Y121" s="2543"/>
      <c r="Z121" s="2041"/>
      <c r="AA121" s="2042"/>
      <c r="AB121" s="2042"/>
      <c r="AC121" s="2043"/>
      <c r="AD121" s="2043"/>
      <c r="AE121" s="2044"/>
      <c r="AF121" s="2542"/>
      <c r="AG121" s="2538"/>
      <c r="AH121" s="2538"/>
      <c r="AI121" s="2542"/>
      <c r="AJ121" s="2538"/>
      <c r="AK121" s="2538"/>
      <c r="AL121" s="1992"/>
      <c r="AM121" s="1827"/>
      <c r="AN121" s="1827"/>
      <c r="AO121" s="1827"/>
      <c r="AP121" s="1827"/>
      <c r="AQ121" s="1827"/>
      <c r="AR121" s="1827"/>
      <c r="AS121" s="1827"/>
      <c r="AT121" s="1827"/>
      <c r="AU121" s="1827"/>
      <c r="AV121" s="1827"/>
      <c r="AW121" s="1827"/>
      <c r="AX121" s="1827"/>
      <c r="AY121" s="1827"/>
      <c r="AZ121" s="1827"/>
      <c r="BA121" s="1827"/>
      <c r="BB121" s="1827"/>
      <c r="BC121" s="1827"/>
      <c r="BD121" s="1827"/>
      <c r="BE121" s="1827"/>
      <c r="BF121" s="1827"/>
      <c r="BG121" s="1639"/>
    </row>
    <row customHeight="1" ht="0.75">
      <c r="A122" s="1170" t="s">
        <v>1261</v>
      </c>
      <c r="B122" s="1170"/>
      <c r="C122" s="1170"/>
      <c r="D122" s="1164"/>
      <c r="E122" s="1174"/>
      <c r="F122" s="2540"/>
      <c r="G122" s="2519"/>
      <c r="H122" s="2544"/>
      <c r="I122" s="2545"/>
      <c r="J122" s="2546"/>
      <c r="K122" s="2546"/>
      <c r="L122" s="2538"/>
      <c r="M122" s="2272"/>
      <c r="N122" s="2547"/>
      <c r="O122" s="2548"/>
      <c r="P122" s="2593"/>
      <c r="Q122" s="2543"/>
      <c r="R122" s="2543"/>
      <c r="S122" s="2543"/>
      <c r="T122" s="2543"/>
      <c r="U122" s="2543"/>
      <c r="V122" s="2543"/>
      <c r="W122" s="2543"/>
      <c r="X122" s="2543"/>
      <c r="Y122" s="2543"/>
      <c r="Z122" s="2045"/>
      <c r="AA122" s="2046"/>
      <c r="AB122" s="2047"/>
      <c r="AC122" s="2048"/>
      <c r="AD122" s="2047"/>
      <c r="AE122" s="2048"/>
      <c r="AF122" s="2542"/>
      <c r="AG122" s="2538"/>
      <c r="AH122" s="2538"/>
      <c r="AI122" s="2542"/>
      <c r="AJ122" s="2538"/>
      <c r="AK122" s="2538"/>
      <c r="AL122" s="1992"/>
      <c r="AM122" s="1827"/>
      <c r="AN122" s="1827"/>
      <c r="AO122" s="1827"/>
      <c r="AP122" s="1827"/>
      <c r="AQ122" s="1827"/>
      <c r="AR122" s="1827"/>
      <c r="AS122" s="1827"/>
      <c r="AT122" s="1827"/>
      <c r="AU122" s="1827"/>
      <c r="AV122" s="1827"/>
      <c r="AW122" s="1827"/>
      <c r="AX122" s="1827"/>
      <c r="AY122" s="1827"/>
      <c r="AZ122" s="1827"/>
      <c r="BA122" s="1827"/>
      <c r="BB122" s="1827"/>
      <c r="BC122" s="1827"/>
      <c r="BD122" s="1827"/>
      <c r="BE122" s="1827"/>
      <c r="BF122" s="1827"/>
      <c r="BG122" s="1639"/>
    </row>
    <row customHeight="1" ht="0.75">
      <c r="A123" s="1170" t="s">
        <v>1261</v>
      </c>
      <c r="B123" s="1170"/>
      <c r="C123" s="1170"/>
      <c r="D123" s="1164"/>
      <c r="E123" s="1174"/>
      <c r="F123" s="2540"/>
      <c r="G123" s="2519"/>
      <c r="H123" s="2544"/>
      <c r="I123" s="2545"/>
      <c r="J123" s="2546"/>
      <c r="K123" s="2546"/>
      <c r="L123" s="2538"/>
      <c r="M123" s="2272"/>
      <c r="N123" s="2547"/>
      <c r="O123" s="2548"/>
      <c r="P123" s="2594"/>
      <c r="Q123" s="2543"/>
      <c r="R123" s="2543"/>
      <c r="S123" s="2543"/>
      <c r="T123" s="2543"/>
      <c r="U123" s="2543"/>
      <c r="V123" s="2543"/>
      <c r="W123" s="2543"/>
      <c r="X123" s="2543"/>
      <c r="Y123" s="2543"/>
      <c r="Z123" s="2041"/>
      <c r="AA123" s="2042"/>
      <c r="AB123" s="2049"/>
      <c r="AC123" s="2043"/>
      <c r="AD123" s="2043"/>
      <c r="AE123" s="2050"/>
      <c r="AF123" s="2542"/>
      <c r="AG123" s="2538"/>
      <c r="AH123" s="2538"/>
      <c r="AI123" s="2542"/>
      <c r="AJ123" s="2538"/>
      <c r="AK123" s="2538"/>
      <c r="AL123" s="1992"/>
      <c r="AM123" s="1827"/>
      <c r="AN123" s="1827"/>
      <c r="AO123" s="1827"/>
      <c r="AP123" s="1827"/>
      <c r="AQ123" s="1827"/>
      <c r="AR123" s="1827"/>
      <c r="AS123" s="1827"/>
      <c r="AT123" s="1827"/>
      <c r="AU123" s="1827"/>
      <c r="AV123" s="1827"/>
      <c r="AW123" s="1827"/>
      <c r="AX123" s="1827"/>
      <c r="AY123" s="1827"/>
      <c r="AZ123" s="1827"/>
      <c r="BA123" s="1827"/>
      <c r="BB123" s="1827"/>
      <c r="BC123" s="1827"/>
      <c r="BD123" s="1827"/>
      <c r="BE123" s="1827"/>
      <c r="BF123" s="1827"/>
      <c r="BG123" s="1639"/>
    </row>
    <row customHeight="1" ht="0.75">
      <c r="A124" s="1170" t="s">
        <v>1261</v>
      </c>
      <c r="B124" s="1170"/>
      <c r="C124" s="1170"/>
      <c r="D124" s="1164"/>
      <c r="E124" s="1174"/>
      <c r="F124" s="2540"/>
      <c r="G124" s="2519"/>
      <c r="H124" s="2544"/>
      <c r="I124" s="2545"/>
      <c r="J124" s="2546"/>
      <c r="K124" s="2546"/>
      <c r="L124" s="2538"/>
      <c r="M124" s="2272"/>
      <c r="N124" s="2042"/>
      <c r="O124" s="2042"/>
      <c r="P124" s="2049"/>
      <c r="Q124" s="2042"/>
      <c r="R124" s="2042"/>
      <c r="S124" s="2042"/>
      <c r="T124" s="2042"/>
      <c r="U124" s="2042"/>
      <c r="V124" s="2042"/>
      <c r="W124" s="2042"/>
      <c r="X124" s="2042"/>
      <c r="Y124" s="2042"/>
      <c r="Z124" s="2042"/>
      <c r="AA124" s="2042"/>
      <c r="AB124" s="2042"/>
      <c r="AC124" s="2042"/>
      <c r="AD124" s="2042"/>
      <c r="AE124" s="2051"/>
      <c r="AF124" s="2542"/>
      <c r="AG124" s="2538"/>
      <c r="AH124" s="2538"/>
      <c r="AI124" s="2542"/>
      <c r="AJ124" s="2538"/>
      <c r="AK124" s="2538"/>
      <c r="AL124" s="1992"/>
      <c r="AM124" s="1827"/>
      <c r="AN124" s="1827"/>
      <c r="AO124" s="1827"/>
      <c r="AP124" s="1827"/>
      <c r="AQ124" s="1827"/>
      <c r="AR124" s="1827"/>
      <c r="AS124" s="1827"/>
      <c r="AT124" s="1827"/>
      <c r="AU124" s="1827"/>
      <c r="AV124" s="1827"/>
      <c r="AW124" s="1827"/>
      <c r="AX124" s="1827"/>
      <c r="AY124" s="1827"/>
      <c r="AZ124" s="1827"/>
      <c r="BA124" s="1827"/>
      <c r="BB124" s="1827"/>
      <c r="BC124" s="1827"/>
      <c r="BD124" s="1827"/>
      <c r="BE124" s="1827"/>
      <c r="BF124" s="1827"/>
      <c r="BG124" s="1639"/>
    </row>
    <row customHeight="1" ht="12">
      <c r="A125" s="1170" t="s">
        <v>1261</v>
      </c>
      <c r="B125" s="1170"/>
      <c r="C125" s="1170"/>
      <c r="D125" s="1164"/>
      <c r="E125" s="1174"/>
      <c r="F125" s="2541"/>
      <c r="G125" s="1194"/>
      <c r="H125" s="1194"/>
      <c r="I125" s="2539" t="s">
        <v>1321</v>
      </c>
      <c r="J125" s="2539"/>
      <c r="K125" s="2539"/>
      <c r="L125" s="1177"/>
      <c r="M125" s="1177"/>
      <c r="N125" s="1178"/>
      <c r="O125" s="1178"/>
      <c r="P125" s="1178"/>
      <c r="Q125" s="1178"/>
      <c r="R125" s="1178"/>
      <c r="S125" s="1178"/>
      <c r="T125" s="1178"/>
      <c r="U125" s="1178"/>
      <c r="V125" s="1178"/>
      <c r="W125" s="1178"/>
      <c r="X125" s="1178"/>
      <c r="Y125" s="1178"/>
      <c r="Z125" s="1178"/>
      <c r="AA125" s="1178"/>
      <c r="AB125" s="1178"/>
      <c r="AC125" s="1178"/>
      <c r="AD125" s="1178"/>
      <c r="AE125" s="1178"/>
      <c r="AF125" s="1178"/>
      <c r="AG125" s="1177"/>
      <c r="AH125" s="1177"/>
      <c r="AI125" s="1178"/>
      <c r="AJ125" s="1177"/>
      <c r="AK125" s="1178"/>
      <c r="AL125" s="1992"/>
      <c r="AM125" s="1827"/>
      <c r="AN125" s="1827"/>
      <c r="AO125" s="1827"/>
      <c r="AP125" s="1827"/>
      <c r="AQ125" s="1827"/>
      <c r="AR125" s="1827"/>
      <c r="AS125" s="1827"/>
      <c r="AT125" s="1827"/>
      <c r="AU125" s="1827"/>
      <c r="AV125" s="1827"/>
      <c r="AW125" s="1827"/>
      <c r="AX125" s="1827"/>
      <c r="AY125" s="1827"/>
      <c r="AZ125" s="1827"/>
      <c r="BA125" s="1827"/>
      <c r="BB125" s="1827"/>
      <c r="BC125" s="1827"/>
      <c r="BD125" s="1827"/>
      <c r="BE125" s="1827"/>
      <c r="BF125" s="1827"/>
      <c r="BG125" s="1639"/>
    </row>
    <row customHeight="1" ht="0.75">
      <c r="A126" s="1170" t="s">
        <v>1261</v>
      </c>
      <c r="B126" s="1170"/>
      <c r="C126" s="1170"/>
      <c r="D126" s="1164"/>
      <c r="E126" s="1174"/>
      <c r="F126" s="2540">
        <v>2031</v>
      </c>
      <c r="G126" s="2519"/>
      <c r="H126" s="2544" t="s">
        <v>394</v>
      </c>
      <c r="I126" s="2545"/>
      <c r="J126" s="2546"/>
      <c r="K126" s="2546"/>
      <c r="L126" s="2538"/>
      <c r="M126" s="2272"/>
      <c r="N126" s="2040"/>
      <c r="O126" s="2039"/>
      <c r="P126" s="2040"/>
      <c r="Q126" s="2040"/>
      <c r="R126" s="2040"/>
      <c r="S126" s="2040"/>
      <c r="T126" s="2040"/>
      <c r="U126" s="2040"/>
      <c r="V126" s="2040"/>
      <c r="W126" s="2040"/>
      <c r="X126" s="2040"/>
      <c r="Y126" s="2040"/>
      <c r="Z126" s="2040"/>
      <c r="AA126" s="2040"/>
      <c r="AB126" s="2040"/>
      <c r="AC126" s="2040"/>
      <c r="AD126" s="2040"/>
      <c r="AE126" s="2040"/>
      <c r="AF126" s="2542"/>
      <c r="AG126" s="2538"/>
      <c r="AH126" s="2538"/>
      <c r="AI126" s="2542"/>
      <c r="AJ126" s="2538"/>
      <c r="AK126" s="2538"/>
      <c r="AL126" s="1992"/>
      <c r="AM126" s="1827"/>
      <c r="AN126" s="1827"/>
      <c r="AO126" s="1827"/>
      <c r="AP126" s="1827"/>
      <c r="AQ126" s="1827"/>
      <c r="AR126" s="1827"/>
      <c r="AS126" s="1827"/>
      <c r="AT126" s="1827"/>
      <c r="AU126" s="1827"/>
      <c r="AV126" s="1827"/>
      <c r="AW126" s="1827"/>
      <c r="AX126" s="1827"/>
      <c r="AY126" s="1827"/>
      <c r="AZ126" s="1827"/>
      <c r="BA126" s="1827"/>
      <c r="BB126" s="1827"/>
      <c r="BC126" s="1827"/>
      <c r="BD126" s="1827"/>
      <c r="BE126" s="1827"/>
      <c r="BF126" s="1827"/>
      <c r="BG126" s="1639"/>
    </row>
    <row customHeight="1" ht="0.75">
      <c r="A127" s="1170" t="s">
        <v>1261</v>
      </c>
      <c r="B127" s="1170"/>
      <c r="C127" s="1170"/>
      <c r="D127" s="1164"/>
      <c r="E127" s="1174"/>
      <c r="F127" s="2540"/>
      <c r="G127" s="2519"/>
      <c r="H127" s="2544"/>
      <c r="I127" s="2545"/>
      <c r="J127" s="2546"/>
      <c r="K127" s="2546"/>
      <c r="L127" s="2538"/>
      <c r="M127" s="2272"/>
      <c r="N127" s="2547"/>
      <c r="O127" s="2548"/>
      <c r="P127" s="2592"/>
      <c r="Q127" s="2543"/>
      <c r="R127" s="2543"/>
      <c r="S127" s="2543"/>
      <c r="T127" s="2543"/>
      <c r="U127" s="2543"/>
      <c r="V127" s="2543"/>
      <c r="W127" s="2543"/>
      <c r="X127" s="2543"/>
      <c r="Y127" s="2543"/>
      <c r="Z127" s="2041"/>
      <c r="AA127" s="2042"/>
      <c r="AB127" s="2042"/>
      <c r="AC127" s="2043"/>
      <c r="AD127" s="2043"/>
      <c r="AE127" s="2044"/>
      <c r="AF127" s="2542"/>
      <c r="AG127" s="2538"/>
      <c r="AH127" s="2538"/>
      <c r="AI127" s="2542"/>
      <c r="AJ127" s="2538"/>
      <c r="AK127" s="2538"/>
      <c r="AL127" s="1992"/>
      <c r="AM127" s="1827"/>
      <c r="AN127" s="1827"/>
      <c r="AO127" s="1827"/>
      <c r="AP127" s="1827"/>
      <c r="AQ127" s="1827"/>
      <c r="AR127" s="1827"/>
      <c r="AS127" s="1827"/>
      <c r="AT127" s="1827"/>
      <c r="AU127" s="1827"/>
      <c r="AV127" s="1827"/>
      <c r="AW127" s="1827"/>
      <c r="AX127" s="1827"/>
      <c r="AY127" s="1827"/>
      <c r="AZ127" s="1827"/>
      <c r="BA127" s="1827"/>
      <c r="BB127" s="1827"/>
      <c r="BC127" s="1827"/>
      <c r="BD127" s="1827"/>
      <c r="BE127" s="1827"/>
      <c r="BF127" s="1827"/>
      <c r="BG127" s="1639"/>
    </row>
    <row customHeight="1" ht="0.75">
      <c r="A128" s="1170" t="s">
        <v>1261</v>
      </c>
      <c r="B128" s="1170"/>
      <c r="C128" s="1170"/>
      <c r="D128" s="1164"/>
      <c r="E128" s="1174"/>
      <c r="F128" s="2540"/>
      <c r="G128" s="2519"/>
      <c r="H128" s="2544"/>
      <c r="I128" s="2545"/>
      <c r="J128" s="2546"/>
      <c r="K128" s="2546"/>
      <c r="L128" s="2538"/>
      <c r="M128" s="2272"/>
      <c r="N128" s="2547"/>
      <c r="O128" s="2548"/>
      <c r="P128" s="2593"/>
      <c r="Q128" s="2543"/>
      <c r="R128" s="2543"/>
      <c r="S128" s="2543"/>
      <c r="T128" s="2543"/>
      <c r="U128" s="2543"/>
      <c r="V128" s="2543"/>
      <c r="W128" s="2543"/>
      <c r="X128" s="2543"/>
      <c r="Y128" s="2543"/>
      <c r="Z128" s="2045"/>
      <c r="AA128" s="2046"/>
      <c r="AB128" s="2047"/>
      <c r="AC128" s="2048"/>
      <c r="AD128" s="2047"/>
      <c r="AE128" s="2048"/>
      <c r="AF128" s="2542"/>
      <c r="AG128" s="2538"/>
      <c r="AH128" s="2538"/>
      <c r="AI128" s="2542"/>
      <c r="AJ128" s="2538"/>
      <c r="AK128" s="2538"/>
      <c r="AL128" s="1992"/>
      <c r="AM128" s="1827"/>
      <c r="AN128" s="1827"/>
      <c r="AO128" s="1827"/>
      <c r="AP128" s="1827"/>
      <c r="AQ128" s="1827"/>
      <c r="AR128" s="1827"/>
      <c r="AS128" s="1827"/>
      <c r="AT128" s="1827"/>
      <c r="AU128" s="1827"/>
      <c r="AV128" s="1827"/>
      <c r="AW128" s="1827"/>
      <c r="AX128" s="1827"/>
      <c r="AY128" s="1827"/>
      <c r="AZ128" s="1827"/>
      <c r="BA128" s="1827"/>
      <c r="BB128" s="1827"/>
      <c r="BC128" s="1827"/>
      <c r="BD128" s="1827"/>
      <c r="BE128" s="1827"/>
      <c r="BF128" s="1827"/>
      <c r="BG128" s="1639"/>
    </row>
    <row customHeight="1" ht="0.75">
      <c r="A129" s="1170" t="s">
        <v>1261</v>
      </c>
      <c r="B129" s="1170"/>
      <c r="C129" s="1170"/>
      <c r="D129" s="1164"/>
      <c r="E129" s="1174"/>
      <c r="F129" s="2540"/>
      <c r="G129" s="2519"/>
      <c r="H129" s="2544"/>
      <c r="I129" s="2545"/>
      <c r="J129" s="2546"/>
      <c r="K129" s="2546"/>
      <c r="L129" s="2538"/>
      <c r="M129" s="2272"/>
      <c r="N129" s="2547"/>
      <c r="O129" s="2548"/>
      <c r="P129" s="2594"/>
      <c r="Q129" s="2543"/>
      <c r="R129" s="2543"/>
      <c r="S129" s="2543"/>
      <c r="T129" s="2543"/>
      <c r="U129" s="2543"/>
      <c r="V129" s="2543"/>
      <c r="W129" s="2543"/>
      <c r="X129" s="2543"/>
      <c r="Y129" s="2543"/>
      <c r="Z129" s="2041"/>
      <c r="AA129" s="2042"/>
      <c r="AB129" s="2049"/>
      <c r="AC129" s="2043"/>
      <c r="AD129" s="2043"/>
      <c r="AE129" s="2050"/>
      <c r="AF129" s="2542"/>
      <c r="AG129" s="2538"/>
      <c r="AH129" s="2538"/>
      <c r="AI129" s="2542"/>
      <c r="AJ129" s="2538"/>
      <c r="AK129" s="2538"/>
      <c r="AL129" s="1992"/>
      <c r="AM129" s="1827"/>
      <c r="AN129" s="1827"/>
      <c r="AO129" s="1827"/>
      <c r="AP129" s="1827"/>
      <c r="AQ129" s="1827"/>
      <c r="AR129" s="1827"/>
      <c r="AS129" s="1827"/>
      <c r="AT129" s="1827"/>
      <c r="AU129" s="1827"/>
      <c r="AV129" s="1827"/>
      <c r="AW129" s="1827"/>
      <c r="AX129" s="1827"/>
      <c r="AY129" s="1827"/>
      <c r="AZ129" s="1827"/>
      <c r="BA129" s="1827"/>
      <c r="BB129" s="1827"/>
      <c r="BC129" s="1827"/>
      <c r="BD129" s="1827"/>
      <c r="BE129" s="1827"/>
      <c r="BF129" s="1827"/>
      <c r="BG129" s="1639"/>
    </row>
    <row customHeight="1" ht="0.75">
      <c r="A130" s="1170" t="s">
        <v>1261</v>
      </c>
      <c r="B130" s="1170"/>
      <c r="C130" s="1170"/>
      <c r="D130" s="1164"/>
      <c r="E130" s="1174"/>
      <c r="F130" s="2540"/>
      <c r="G130" s="2519"/>
      <c r="H130" s="2544"/>
      <c r="I130" s="2545"/>
      <c r="J130" s="2546"/>
      <c r="K130" s="2546"/>
      <c r="L130" s="2538"/>
      <c r="M130" s="2272"/>
      <c r="N130" s="2042"/>
      <c r="O130" s="2042"/>
      <c r="P130" s="2049"/>
      <c r="Q130" s="2042"/>
      <c r="R130" s="2042"/>
      <c r="S130" s="2042"/>
      <c r="T130" s="2042"/>
      <c r="U130" s="2042"/>
      <c r="V130" s="2042"/>
      <c r="W130" s="2042"/>
      <c r="X130" s="2042"/>
      <c r="Y130" s="2042"/>
      <c r="Z130" s="2042"/>
      <c r="AA130" s="2042"/>
      <c r="AB130" s="2042"/>
      <c r="AC130" s="2042"/>
      <c r="AD130" s="2042"/>
      <c r="AE130" s="2051"/>
      <c r="AF130" s="2542"/>
      <c r="AG130" s="2538"/>
      <c r="AH130" s="2538"/>
      <c r="AI130" s="2542"/>
      <c r="AJ130" s="2538"/>
      <c r="AK130" s="2538"/>
      <c r="AL130" s="1992"/>
      <c r="AM130" s="1827"/>
      <c r="AN130" s="1827"/>
      <c r="AO130" s="1827"/>
      <c r="AP130" s="1827"/>
      <c r="AQ130" s="1827"/>
      <c r="AR130" s="1827"/>
      <c r="AS130" s="1827"/>
      <c r="AT130" s="1827"/>
      <c r="AU130" s="1827"/>
      <c r="AV130" s="1827"/>
      <c r="AW130" s="1827"/>
      <c r="AX130" s="1827"/>
      <c r="AY130" s="1827"/>
      <c r="AZ130" s="1827"/>
      <c r="BA130" s="1827"/>
      <c r="BB130" s="1827"/>
      <c r="BC130" s="1827"/>
      <c r="BD130" s="1827"/>
      <c r="BE130" s="1827"/>
      <c r="BF130" s="1827"/>
      <c r="BG130" s="1639"/>
    </row>
    <row customHeight="1" ht="12">
      <c r="A131" s="1170" t="s">
        <v>1261</v>
      </c>
      <c r="B131" s="1170"/>
      <c r="C131" s="1170"/>
      <c r="D131" s="1164"/>
      <c r="E131" s="1174"/>
      <c r="F131" s="2541"/>
      <c r="G131" s="1194"/>
      <c r="H131" s="1194"/>
      <c r="I131" s="2539" t="s">
        <v>1321</v>
      </c>
      <c r="J131" s="2539"/>
      <c r="K131" s="2539"/>
      <c r="L131" s="1177"/>
      <c r="M131" s="1177"/>
      <c r="N131" s="1178"/>
      <c r="O131" s="1178"/>
      <c r="P131" s="1178"/>
      <c r="Q131" s="1178"/>
      <c r="R131" s="1178"/>
      <c r="S131" s="1178"/>
      <c r="T131" s="1178"/>
      <c r="U131" s="1178"/>
      <c r="V131" s="1178"/>
      <c r="W131" s="1178"/>
      <c r="X131" s="1178"/>
      <c r="Y131" s="1178"/>
      <c r="Z131" s="1178"/>
      <c r="AA131" s="1178"/>
      <c r="AB131" s="1178"/>
      <c r="AC131" s="1178"/>
      <c r="AD131" s="1178"/>
      <c r="AE131" s="1178"/>
      <c r="AF131" s="1178"/>
      <c r="AG131" s="1177"/>
      <c r="AH131" s="1177"/>
      <c r="AI131" s="1178"/>
      <c r="AJ131" s="1177"/>
      <c r="AK131" s="1178"/>
      <c r="AL131" s="1992"/>
      <c r="AM131" s="1827"/>
      <c r="AN131" s="1827"/>
      <c r="AO131" s="1827"/>
      <c r="AP131" s="1827"/>
      <c r="AQ131" s="1827"/>
      <c r="AR131" s="1827"/>
      <c r="AS131" s="1827"/>
      <c r="AT131" s="1827"/>
      <c r="AU131" s="1827"/>
      <c r="AV131" s="1827"/>
      <c r="AW131" s="1827"/>
      <c r="AX131" s="1827"/>
      <c r="AY131" s="1827"/>
      <c r="AZ131" s="1827"/>
      <c r="BA131" s="1827"/>
      <c r="BB131" s="1827"/>
      <c r="BC131" s="1827"/>
      <c r="BD131" s="1827"/>
      <c r="BE131" s="1827"/>
      <c r="BF131" s="1827"/>
      <c r="BG131" s="1639"/>
    </row>
    <row customHeight="1" ht="0.75">
      <c r="A132" s="1170" t="s">
        <v>1261</v>
      </c>
      <c r="B132" s="1170"/>
      <c r="C132" s="1170"/>
      <c r="D132" s="1164"/>
      <c r="E132" s="1174"/>
      <c r="F132" s="2540">
        <v>2032</v>
      </c>
      <c r="G132" s="2519"/>
      <c r="H132" s="2544" t="s">
        <v>394</v>
      </c>
      <c r="I132" s="2545"/>
      <c r="J132" s="2546"/>
      <c r="K132" s="2546"/>
      <c r="L132" s="2538"/>
      <c r="M132" s="2272"/>
      <c r="N132" s="2040"/>
      <c r="O132" s="2039"/>
      <c r="P132" s="2040"/>
      <c r="Q132" s="2040"/>
      <c r="R132" s="2040"/>
      <c r="S132" s="2040"/>
      <c r="T132" s="2040"/>
      <c r="U132" s="2040"/>
      <c r="V132" s="2040"/>
      <c r="W132" s="2040"/>
      <c r="X132" s="2040"/>
      <c r="Y132" s="2040"/>
      <c r="Z132" s="2040"/>
      <c r="AA132" s="2040"/>
      <c r="AB132" s="2040"/>
      <c r="AC132" s="2040"/>
      <c r="AD132" s="2040"/>
      <c r="AE132" s="2040"/>
      <c r="AF132" s="2542"/>
      <c r="AG132" s="2538"/>
      <c r="AH132" s="2538"/>
      <c r="AI132" s="2542"/>
      <c r="AJ132" s="2538"/>
      <c r="AK132" s="2538"/>
      <c r="AL132" s="1992"/>
      <c r="AM132" s="1827"/>
      <c r="AN132" s="1827"/>
      <c r="AO132" s="1827"/>
      <c r="AP132" s="1827"/>
      <c r="AQ132" s="1827"/>
      <c r="AR132" s="1827"/>
      <c r="AS132" s="1827"/>
      <c r="AT132" s="1827"/>
      <c r="AU132" s="1827"/>
      <c r="AV132" s="1827"/>
      <c r="AW132" s="1827"/>
      <c r="AX132" s="1827"/>
      <c r="AY132" s="1827"/>
      <c r="AZ132" s="1827"/>
      <c r="BA132" s="1827"/>
      <c r="BB132" s="1827"/>
      <c r="BC132" s="1827"/>
      <c r="BD132" s="1827"/>
      <c r="BE132" s="1827"/>
      <c r="BF132" s="1827"/>
      <c r="BG132" s="1639"/>
    </row>
    <row customHeight="1" ht="0.75">
      <c r="A133" s="1170" t="s">
        <v>1261</v>
      </c>
      <c r="B133" s="1170"/>
      <c r="C133" s="1170"/>
      <c r="D133" s="1164"/>
      <c r="E133" s="1174"/>
      <c r="F133" s="2540"/>
      <c r="G133" s="2519"/>
      <c r="H133" s="2544"/>
      <c r="I133" s="2545"/>
      <c r="J133" s="2546"/>
      <c r="K133" s="2546"/>
      <c r="L133" s="2538"/>
      <c r="M133" s="2272"/>
      <c r="N133" s="2547"/>
      <c r="O133" s="2548"/>
      <c r="P133" s="2592"/>
      <c r="Q133" s="2543"/>
      <c r="R133" s="2543"/>
      <c r="S133" s="2543"/>
      <c r="T133" s="2543"/>
      <c r="U133" s="2543"/>
      <c r="V133" s="2543"/>
      <c r="W133" s="2543"/>
      <c r="X133" s="2543"/>
      <c r="Y133" s="2543"/>
      <c r="Z133" s="2041"/>
      <c r="AA133" s="2042"/>
      <c r="AB133" s="2042"/>
      <c r="AC133" s="2043"/>
      <c r="AD133" s="2043"/>
      <c r="AE133" s="2044"/>
      <c r="AF133" s="2542"/>
      <c r="AG133" s="2538"/>
      <c r="AH133" s="2538"/>
      <c r="AI133" s="2542"/>
      <c r="AJ133" s="2538"/>
      <c r="AK133" s="2538"/>
      <c r="AL133" s="1992"/>
      <c r="AM133" s="1827"/>
      <c r="AN133" s="1827"/>
      <c r="AO133" s="1827"/>
      <c r="AP133" s="1827"/>
      <c r="AQ133" s="1827"/>
      <c r="AR133" s="1827"/>
      <c r="AS133" s="1827"/>
      <c r="AT133" s="1827"/>
      <c r="AU133" s="1827"/>
      <c r="AV133" s="1827"/>
      <c r="AW133" s="1827"/>
      <c r="AX133" s="1827"/>
      <c r="AY133" s="1827"/>
      <c r="AZ133" s="1827"/>
      <c r="BA133" s="1827"/>
      <c r="BB133" s="1827"/>
      <c r="BC133" s="1827"/>
      <c r="BD133" s="1827"/>
      <c r="BE133" s="1827"/>
      <c r="BF133" s="1827"/>
      <c r="BG133" s="1639"/>
    </row>
    <row customHeight="1" ht="0.75">
      <c r="A134" s="1170" t="s">
        <v>1261</v>
      </c>
      <c r="B134" s="1170"/>
      <c r="C134" s="1170"/>
      <c r="D134" s="1164"/>
      <c r="E134" s="1174"/>
      <c r="F134" s="2540"/>
      <c r="G134" s="2519"/>
      <c r="H134" s="2544"/>
      <c r="I134" s="2545"/>
      <c r="J134" s="2546"/>
      <c r="K134" s="2546"/>
      <c r="L134" s="2538"/>
      <c r="M134" s="2272"/>
      <c r="N134" s="2547"/>
      <c r="O134" s="2548"/>
      <c r="P134" s="2593"/>
      <c r="Q134" s="2543"/>
      <c r="R134" s="2543"/>
      <c r="S134" s="2543"/>
      <c r="T134" s="2543"/>
      <c r="U134" s="2543"/>
      <c r="V134" s="2543"/>
      <c r="W134" s="2543"/>
      <c r="X134" s="2543"/>
      <c r="Y134" s="2543"/>
      <c r="Z134" s="2045"/>
      <c r="AA134" s="2046"/>
      <c r="AB134" s="2047"/>
      <c r="AC134" s="2048"/>
      <c r="AD134" s="2047"/>
      <c r="AE134" s="2048"/>
      <c r="AF134" s="2542"/>
      <c r="AG134" s="2538"/>
      <c r="AH134" s="2538"/>
      <c r="AI134" s="2542"/>
      <c r="AJ134" s="2538"/>
      <c r="AK134" s="2538"/>
      <c r="AL134" s="1992"/>
      <c r="AM134" s="1827"/>
      <c r="AN134" s="1827"/>
      <c r="AO134" s="1827"/>
      <c r="AP134" s="1827"/>
      <c r="AQ134" s="1827"/>
      <c r="AR134" s="1827"/>
      <c r="AS134" s="1827"/>
      <c r="AT134" s="1827"/>
      <c r="AU134" s="1827"/>
      <c r="AV134" s="1827"/>
      <c r="AW134" s="1827"/>
      <c r="AX134" s="1827"/>
      <c r="AY134" s="1827"/>
      <c r="AZ134" s="1827"/>
      <c r="BA134" s="1827"/>
      <c r="BB134" s="1827"/>
      <c r="BC134" s="1827"/>
      <c r="BD134" s="1827"/>
      <c r="BE134" s="1827"/>
      <c r="BF134" s="1827"/>
      <c r="BG134" s="1639"/>
    </row>
    <row customHeight="1" ht="0.75">
      <c r="A135" s="1170" t="s">
        <v>1261</v>
      </c>
      <c r="B135" s="1170"/>
      <c r="C135" s="1170"/>
      <c r="D135" s="1164"/>
      <c r="E135" s="1174"/>
      <c r="F135" s="2540"/>
      <c r="G135" s="2519"/>
      <c r="H135" s="2544"/>
      <c r="I135" s="2545"/>
      <c r="J135" s="2546"/>
      <c r="K135" s="2546"/>
      <c r="L135" s="2538"/>
      <c r="M135" s="2272"/>
      <c r="N135" s="2547"/>
      <c r="O135" s="2548"/>
      <c r="P135" s="2594"/>
      <c r="Q135" s="2543"/>
      <c r="R135" s="2543"/>
      <c r="S135" s="2543"/>
      <c r="T135" s="2543"/>
      <c r="U135" s="2543"/>
      <c r="V135" s="2543"/>
      <c r="W135" s="2543"/>
      <c r="X135" s="2543"/>
      <c r="Y135" s="2543"/>
      <c r="Z135" s="2041"/>
      <c r="AA135" s="2042"/>
      <c r="AB135" s="2049"/>
      <c r="AC135" s="2043"/>
      <c r="AD135" s="2043"/>
      <c r="AE135" s="2050"/>
      <c r="AF135" s="2542"/>
      <c r="AG135" s="2538"/>
      <c r="AH135" s="2538"/>
      <c r="AI135" s="2542"/>
      <c r="AJ135" s="2538"/>
      <c r="AK135" s="2538"/>
      <c r="AL135" s="1992"/>
      <c r="AM135" s="1827"/>
      <c r="AN135" s="1827"/>
      <c r="AO135" s="1827"/>
      <c r="AP135" s="1827"/>
      <c r="AQ135" s="1827"/>
      <c r="AR135" s="1827"/>
      <c r="AS135" s="1827"/>
      <c r="AT135" s="1827"/>
      <c r="AU135" s="1827"/>
      <c r="AV135" s="1827"/>
      <c r="AW135" s="1827"/>
      <c r="AX135" s="1827"/>
      <c r="AY135" s="1827"/>
      <c r="AZ135" s="1827"/>
      <c r="BA135" s="1827"/>
      <c r="BB135" s="1827"/>
      <c r="BC135" s="1827"/>
      <c r="BD135" s="1827"/>
      <c r="BE135" s="1827"/>
      <c r="BF135" s="1827"/>
      <c r="BG135" s="1639"/>
    </row>
    <row customHeight="1" ht="0.75">
      <c r="A136" s="1170" t="s">
        <v>1261</v>
      </c>
      <c r="B136" s="1170"/>
      <c r="C136" s="1170"/>
      <c r="D136" s="1164"/>
      <c r="E136" s="1174"/>
      <c r="F136" s="2540"/>
      <c r="G136" s="2519"/>
      <c r="H136" s="2544"/>
      <c r="I136" s="2545"/>
      <c r="J136" s="2546"/>
      <c r="K136" s="2546"/>
      <c r="L136" s="2538"/>
      <c r="M136" s="2272"/>
      <c r="N136" s="2042"/>
      <c r="O136" s="2042"/>
      <c r="P136" s="2049"/>
      <c r="Q136" s="2042"/>
      <c r="R136" s="2042"/>
      <c r="S136" s="2042"/>
      <c r="T136" s="2042"/>
      <c r="U136" s="2042"/>
      <c r="V136" s="2042"/>
      <c r="W136" s="2042"/>
      <c r="X136" s="2042"/>
      <c r="Y136" s="2042"/>
      <c r="Z136" s="2042"/>
      <c r="AA136" s="2042"/>
      <c r="AB136" s="2042"/>
      <c r="AC136" s="2042"/>
      <c r="AD136" s="2042"/>
      <c r="AE136" s="2051"/>
      <c r="AF136" s="2542"/>
      <c r="AG136" s="2538"/>
      <c r="AH136" s="2538"/>
      <c r="AI136" s="2542"/>
      <c r="AJ136" s="2538"/>
      <c r="AK136" s="2538"/>
      <c r="AL136" s="1992"/>
      <c r="AM136" s="1827"/>
      <c r="AN136" s="1827"/>
      <c r="AO136" s="1827"/>
      <c r="AP136" s="1827"/>
      <c r="AQ136" s="1827"/>
      <c r="AR136" s="1827"/>
      <c r="AS136" s="1827"/>
      <c r="AT136" s="1827"/>
      <c r="AU136" s="1827"/>
      <c r="AV136" s="1827"/>
      <c r="AW136" s="1827"/>
      <c r="AX136" s="1827"/>
      <c r="AY136" s="1827"/>
      <c r="AZ136" s="1827"/>
      <c r="BA136" s="1827"/>
      <c r="BB136" s="1827"/>
      <c r="BC136" s="1827"/>
      <c r="BD136" s="1827"/>
      <c r="BE136" s="1827"/>
      <c r="BF136" s="1827"/>
      <c r="BG136" s="1639"/>
    </row>
    <row customHeight="1" ht="12">
      <c r="A137" s="1170" t="s">
        <v>1261</v>
      </c>
      <c r="B137" s="1170"/>
      <c r="C137" s="1170"/>
      <c r="D137" s="1164"/>
      <c r="E137" s="1174"/>
      <c r="F137" s="2541"/>
      <c r="G137" s="1194"/>
      <c r="H137" s="1194"/>
      <c r="I137" s="2539" t="s">
        <v>1321</v>
      </c>
      <c r="J137" s="2539"/>
      <c r="K137" s="2539"/>
      <c r="L137" s="1177"/>
      <c r="M137" s="1177"/>
      <c r="N137" s="1178"/>
      <c r="O137" s="1178"/>
      <c r="P137" s="1178"/>
      <c r="Q137" s="1178"/>
      <c r="R137" s="1178"/>
      <c r="S137" s="1178"/>
      <c r="T137" s="1178"/>
      <c r="U137" s="1178"/>
      <c r="V137" s="1178"/>
      <c r="W137" s="1178"/>
      <c r="X137" s="1178"/>
      <c r="Y137" s="1178"/>
      <c r="Z137" s="1178"/>
      <c r="AA137" s="1178"/>
      <c r="AB137" s="1178"/>
      <c r="AC137" s="1178"/>
      <c r="AD137" s="1178"/>
      <c r="AE137" s="1178"/>
      <c r="AF137" s="1178"/>
      <c r="AG137" s="1177"/>
      <c r="AH137" s="1177"/>
      <c r="AI137" s="1178"/>
      <c r="AJ137" s="1177"/>
      <c r="AK137" s="1178"/>
      <c r="AL137" s="1992"/>
      <c r="AM137" s="1827"/>
      <c r="AN137" s="1827"/>
      <c r="AO137" s="1827"/>
      <c r="AP137" s="1827"/>
      <c r="AQ137" s="1827"/>
      <c r="AR137" s="1827"/>
      <c r="AS137" s="1827"/>
      <c r="AT137" s="1827"/>
      <c r="AU137" s="1827"/>
      <c r="AV137" s="1827"/>
      <c r="AW137" s="1827"/>
      <c r="AX137" s="1827"/>
      <c r="AY137" s="1827"/>
      <c r="AZ137" s="1827"/>
      <c r="BA137" s="1827"/>
      <c r="BB137" s="1827"/>
      <c r="BC137" s="1827"/>
      <c r="BD137" s="1827"/>
      <c r="BE137" s="1827"/>
      <c r="BF137" s="1827"/>
      <c r="BG137" s="1639"/>
    </row>
    <row customHeight="1" ht="0.75">
      <c r="A138" s="1170" t="s">
        <v>1261</v>
      </c>
      <c r="B138" s="1170"/>
      <c r="C138" s="1170"/>
      <c r="D138" s="1164"/>
      <c r="E138" s="1174"/>
      <c r="F138" s="2540">
        <v>2033</v>
      </c>
      <c r="G138" s="2519"/>
      <c r="H138" s="2544" t="s">
        <v>394</v>
      </c>
      <c r="I138" s="2545"/>
      <c r="J138" s="2546"/>
      <c r="K138" s="2546"/>
      <c r="L138" s="2538"/>
      <c r="M138" s="2272"/>
      <c r="N138" s="2040"/>
      <c r="O138" s="2039"/>
      <c r="P138" s="2040"/>
      <c r="Q138" s="2040"/>
      <c r="R138" s="2040"/>
      <c r="S138" s="2040"/>
      <c r="T138" s="2040"/>
      <c r="U138" s="2040"/>
      <c r="V138" s="2040"/>
      <c r="W138" s="2040"/>
      <c r="X138" s="2040"/>
      <c r="Y138" s="2040"/>
      <c r="Z138" s="2040"/>
      <c r="AA138" s="2040"/>
      <c r="AB138" s="2040"/>
      <c r="AC138" s="2040"/>
      <c r="AD138" s="2040"/>
      <c r="AE138" s="2040"/>
      <c r="AF138" s="2542"/>
      <c r="AG138" s="2538"/>
      <c r="AH138" s="2538"/>
      <c r="AI138" s="2542"/>
      <c r="AJ138" s="2538"/>
      <c r="AK138" s="2538"/>
      <c r="AL138" s="1992"/>
      <c r="AM138" s="1827"/>
      <c r="AN138" s="1827"/>
      <c r="AO138" s="1827"/>
      <c r="AP138" s="1827"/>
      <c r="AQ138" s="1827"/>
      <c r="AR138" s="1827"/>
      <c r="AS138" s="1827"/>
      <c r="AT138" s="1827"/>
      <c r="AU138" s="1827"/>
      <c r="AV138" s="1827"/>
      <c r="AW138" s="1827"/>
      <c r="AX138" s="1827"/>
      <c r="AY138" s="1827"/>
      <c r="AZ138" s="1827"/>
      <c r="BA138" s="1827"/>
      <c r="BB138" s="1827"/>
      <c r="BC138" s="1827"/>
      <c r="BD138" s="1827"/>
      <c r="BE138" s="1827"/>
      <c r="BF138" s="1827"/>
      <c r="BG138" s="1639"/>
    </row>
    <row customHeight="1" ht="0.75">
      <c r="A139" s="1170" t="s">
        <v>1261</v>
      </c>
      <c r="B139" s="1170"/>
      <c r="C139" s="1170"/>
      <c r="D139" s="1164"/>
      <c r="E139" s="1174"/>
      <c r="F139" s="2540"/>
      <c r="G139" s="2519"/>
      <c r="H139" s="2544"/>
      <c r="I139" s="2545"/>
      <c r="J139" s="2546"/>
      <c r="K139" s="2546"/>
      <c r="L139" s="2538"/>
      <c r="M139" s="2272"/>
      <c r="N139" s="2547"/>
      <c r="O139" s="2548"/>
      <c r="P139" s="2592"/>
      <c r="Q139" s="2543"/>
      <c r="R139" s="2543"/>
      <c r="S139" s="2543"/>
      <c r="T139" s="2543"/>
      <c r="U139" s="2543"/>
      <c r="V139" s="2543"/>
      <c r="W139" s="2543"/>
      <c r="X139" s="2543"/>
      <c r="Y139" s="2543"/>
      <c r="Z139" s="2041"/>
      <c r="AA139" s="2042"/>
      <c r="AB139" s="2042"/>
      <c r="AC139" s="2043"/>
      <c r="AD139" s="2043"/>
      <c r="AE139" s="2044"/>
      <c r="AF139" s="2542"/>
      <c r="AG139" s="2538"/>
      <c r="AH139" s="2538"/>
      <c r="AI139" s="2542"/>
      <c r="AJ139" s="2538"/>
      <c r="AK139" s="2538"/>
      <c r="AL139" s="1992"/>
      <c r="AM139" s="1827"/>
      <c r="AN139" s="1827"/>
      <c r="AO139" s="1827"/>
      <c r="AP139" s="1827"/>
      <c r="AQ139" s="1827"/>
      <c r="AR139" s="1827"/>
      <c r="AS139" s="1827"/>
      <c r="AT139" s="1827"/>
      <c r="AU139" s="1827"/>
      <c r="AV139" s="1827"/>
      <c r="AW139" s="1827"/>
      <c r="AX139" s="1827"/>
      <c r="AY139" s="1827"/>
      <c r="AZ139" s="1827"/>
      <c r="BA139" s="1827"/>
      <c r="BB139" s="1827"/>
      <c r="BC139" s="1827"/>
      <c r="BD139" s="1827"/>
      <c r="BE139" s="1827"/>
      <c r="BF139" s="1827"/>
      <c r="BG139" s="1639"/>
    </row>
    <row customHeight="1" ht="0.75">
      <c r="A140" s="1170" t="s">
        <v>1261</v>
      </c>
      <c r="B140" s="1170"/>
      <c r="C140" s="1170"/>
      <c r="D140" s="1164"/>
      <c r="E140" s="1174"/>
      <c r="F140" s="2540"/>
      <c r="G140" s="2519"/>
      <c r="H140" s="2544"/>
      <c r="I140" s="2545"/>
      <c r="J140" s="2546"/>
      <c r="K140" s="2546"/>
      <c r="L140" s="2538"/>
      <c r="M140" s="2272"/>
      <c r="N140" s="2547"/>
      <c r="O140" s="2548"/>
      <c r="P140" s="2593"/>
      <c r="Q140" s="2543"/>
      <c r="R140" s="2543"/>
      <c r="S140" s="2543"/>
      <c r="T140" s="2543"/>
      <c r="U140" s="2543"/>
      <c r="V140" s="2543"/>
      <c r="W140" s="2543"/>
      <c r="X140" s="2543"/>
      <c r="Y140" s="2543"/>
      <c r="Z140" s="2045"/>
      <c r="AA140" s="2046"/>
      <c r="AB140" s="2047"/>
      <c r="AC140" s="2048"/>
      <c r="AD140" s="2047"/>
      <c r="AE140" s="2048"/>
      <c r="AF140" s="2542"/>
      <c r="AG140" s="2538"/>
      <c r="AH140" s="2538"/>
      <c r="AI140" s="2542"/>
      <c r="AJ140" s="2538"/>
      <c r="AK140" s="2538"/>
      <c r="AL140" s="1992"/>
      <c r="AM140" s="1827"/>
      <c r="AN140" s="1827"/>
      <c r="AO140" s="1827"/>
      <c r="AP140" s="1827"/>
      <c r="AQ140" s="1827"/>
      <c r="AR140" s="1827"/>
      <c r="AS140" s="1827"/>
      <c r="AT140" s="1827"/>
      <c r="AU140" s="1827"/>
      <c r="AV140" s="1827"/>
      <c r="AW140" s="1827"/>
      <c r="AX140" s="1827"/>
      <c r="AY140" s="1827"/>
      <c r="AZ140" s="1827"/>
      <c r="BA140" s="1827"/>
      <c r="BB140" s="1827"/>
      <c r="BC140" s="1827"/>
      <c r="BD140" s="1827"/>
      <c r="BE140" s="1827"/>
      <c r="BF140" s="1827"/>
      <c r="BG140" s="1639"/>
    </row>
    <row customHeight="1" ht="0.75">
      <c r="A141" s="1170" t="s">
        <v>1261</v>
      </c>
      <c r="B141" s="1170"/>
      <c r="C141" s="1170"/>
      <c r="D141" s="1164"/>
      <c r="E141" s="1174"/>
      <c r="F141" s="2540"/>
      <c r="G141" s="2519"/>
      <c r="H141" s="2544"/>
      <c r="I141" s="2545"/>
      <c r="J141" s="2546"/>
      <c r="K141" s="2546"/>
      <c r="L141" s="2538"/>
      <c r="M141" s="2272"/>
      <c r="N141" s="2547"/>
      <c r="O141" s="2548"/>
      <c r="P141" s="2594"/>
      <c r="Q141" s="2543"/>
      <c r="R141" s="2543"/>
      <c r="S141" s="2543"/>
      <c r="T141" s="2543"/>
      <c r="U141" s="2543"/>
      <c r="V141" s="2543"/>
      <c r="W141" s="2543"/>
      <c r="X141" s="2543"/>
      <c r="Y141" s="2543"/>
      <c r="Z141" s="2041"/>
      <c r="AA141" s="2042"/>
      <c r="AB141" s="2049"/>
      <c r="AC141" s="2043"/>
      <c r="AD141" s="2043"/>
      <c r="AE141" s="2050"/>
      <c r="AF141" s="2542"/>
      <c r="AG141" s="2538"/>
      <c r="AH141" s="2538"/>
      <c r="AI141" s="2542"/>
      <c r="AJ141" s="2538"/>
      <c r="AK141" s="2538"/>
      <c r="AL141" s="1992"/>
      <c r="AM141" s="1827"/>
      <c r="AN141" s="1827"/>
      <c r="AO141" s="1827"/>
      <c r="AP141" s="1827"/>
      <c r="AQ141" s="1827"/>
      <c r="AR141" s="1827"/>
      <c r="AS141" s="1827"/>
      <c r="AT141" s="1827"/>
      <c r="AU141" s="1827"/>
      <c r="AV141" s="1827"/>
      <c r="AW141" s="1827"/>
      <c r="AX141" s="1827"/>
      <c r="AY141" s="1827"/>
      <c r="AZ141" s="1827"/>
      <c r="BA141" s="1827"/>
      <c r="BB141" s="1827"/>
      <c r="BC141" s="1827"/>
      <c r="BD141" s="1827"/>
      <c r="BE141" s="1827"/>
      <c r="BF141" s="1827"/>
      <c r="BG141" s="1639"/>
    </row>
    <row customHeight="1" ht="0.75">
      <c r="A142" s="1170" t="s">
        <v>1261</v>
      </c>
      <c r="B142" s="1170"/>
      <c r="C142" s="1170"/>
      <c r="D142" s="1164"/>
      <c r="E142" s="1174"/>
      <c r="F142" s="2540"/>
      <c r="G142" s="2519"/>
      <c r="H142" s="2544"/>
      <c r="I142" s="2545"/>
      <c r="J142" s="2546"/>
      <c r="K142" s="2546"/>
      <c r="L142" s="2538"/>
      <c r="M142" s="2272"/>
      <c r="N142" s="2042"/>
      <c r="O142" s="2042"/>
      <c r="P142" s="2049"/>
      <c r="Q142" s="2042"/>
      <c r="R142" s="2042"/>
      <c r="S142" s="2042"/>
      <c r="T142" s="2042"/>
      <c r="U142" s="2042"/>
      <c r="V142" s="2042"/>
      <c r="W142" s="2042"/>
      <c r="X142" s="2042"/>
      <c r="Y142" s="2042"/>
      <c r="Z142" s="2042"/>
      <c r="AA142" s="2042"/>
      <c r="AB142" s="2042"/>
      <c r="AC142" s="2042"/>
      <c r="AD142" s="2042"/>
      <c r="AE142" s="2051"/>
      <c r="AF142" s="2542"/>
      <c r="AG142" s="2538"/>
      <c r="AH142" s="2538"/>
      <c r="AI142" s="2542"/>
      <c r="AJ142" s="2538"/>
      <c r="AK142" s="2538"/>
      <c r="AL142" s="1992"/>
      <c r="AM142" s="1827"/>
      <c r="AN142" s="1827"/>
      <c r="AO142" s="1827"/>
      <c r="AP142" s="1827"/>
      <c r="AQ142" s="1827"/>
      <c r="AR142" s="1827"/>
      <c r="AS142" s="1827"/>
      <c r="AT142" s="1827"/>
      <c r="AU142" s="1827"/>
      <c r="AV142" s="1827"/>
      <c r="AW142" s="1827"/>
      <c r="AX142" s="1827"/>
      <c r="AY142" s="1827"/>
      <c r="AZ142" s="1827"/>
      <c r="BA142" s="1827"/>
      <c r="BB142" s="1827"/>
      <c r="BC142" s="1827"/>
      <c r="BD142" s="1827"/>
      <c r="BE142" s="1827"/>
      <c r="BF142" s="1827"/>
      <c r="BG142" s="1639"/>
    </row>
    <row customHeight="1" ht="12">
      <c r="A143" s="1170" t="s">
        <v>1261</v>
      </c>
      <c r="B143" s="1170"/>
      <c r="C143" s="1170"/>
      <c r="D143" s="1164"/>
      <c r="E143" s="1174"/>
      <c r="F143" s="2541"/>
      <c r="G143" s="1194"/>
      <c r="H143" s="1194"/>
      <c r="I143" s="2539" t="s">
        <v>1321</v>
      </c>
      <c r="J143" s="2539"/>
      <c r="K143" s="2539"/>
      <c r="L143" s="1177"/>
      <c r="M143" s="1177"/>
      <c r="N143" s="1178"/>
      <c r="O143" s="1178"/>
      <c r="P143" s="1178"/>
      <c r="Q143" s="1178"/>
      <c r="R143" s="1178"/>
      <c r="S143" s="1178"/>
      <c r="T143" s="1178"/>
      <c r="U143" s="1178"/>
      <c r="V143" s="1178"/>
      <c r="W143" s="1178"/>
      <c r="X143" s="1178"/>
      <c r="Y143" s="1178"/>
      <c r="Z143" s="1178"/>
      <c r="AA143" s="1178"/>
      <c r="AB143" s="1178"/>
      <c r="AC143" s="1178"/>
      <c r="AD143" s="1178"/>
      <c r="AE143" s="1178"/>
      <c r="AF143" s="1178"/>
      <c r="AG143" s="1177"/>
      <c r="AH143" s="1177"/>
      <c r="AI143" s="1178"/>
      <c r="AJ143" s="1177"/>
      <c r="AK143" s="1178"/>
      <c r="AL143" s="1992"/>
      <c r="AM143" s="1827"/>
      <c r="AN143" s="1827"/>
      <c r="AO143" s="1827"/>
      <c r="AP143" s="1827"/>
      <c r="AQ143" s="1827"/>
      <c r="AR143" s="1827"/>
      <c r="AS143" s="1827"/>
      <c r="AT143" s="1827"/>
      <c r="AU143" s="1827"/>
      <c r="AV143" s="1827"/>
      <c r="AW143" s="1827"/>
      <c r="AX143" s="1827"/>
      <c r="AY143" s="1827"/>
      <c r="AZ143" s="1827"/>
      <c r="BA143" s="1827"/>
      <c r="BB143" s="1827"/>
      <c r="BC143" s="1827"/>
      <c r="BD143" s="1827"/>
      <c r="BE143" s="1827"/>
      <c r="BF143" s="1827"/>
      <c r="BG143" s="1639"/>
    </row>
    <row customHeight="1" ht="0.75">
      <c r="A144" s="1170" t="s">
        <v>1261</v>
      </c>
      <c r="B144" s="1170"/>
      <c r="C144" s="1170"/>
      <c r="D144" s="1164"/>
      <c r="E144" s="1174"/>
      <c r="F144" s="2540">
        <v>2034</v>
      </c>
      <c r="G144" s="2519"/>
      <c r="H144" s="2544" t="s">
        <v>394</v>
      </c>
      <c r="I144" s="2545"/>
      <c r="J144" s="2546"/>
      <c r="K144" s="2546"/>
      <c r="L144" s="2538"/>
      <c r="M144" s="2272"/>
      <c r="N144" s="2040"/>
      <c r="O144" s="2039"/>
      <c r="P144" s="2040"/>
      <c r="Q144" s="2040"/>
      <c r="R144" s="2040"/>
      <c r="S144" s="2040"/>
      <c r="T144" s="2040"/>
      <c r="U144" s="2040"/>
      <c r="V144" s="2040"/>
      <c r="W144" s="2040"/>
      <c r="X144" s="2040"/>
      <c r="Y144" s="2040"/>
      <c r="Z144" s="2040"/>
      <c r="AA144" s="2040"/>
      <c r="AB144" s="2040"/>
      <c r="AC144" s="2040"/>
      <c r="AD144" s="2040"/>
      <c r="AE144" s="2040"/>
      <c r="AF144" s="2542"/>
      <c r="AG144" s="2538"/>
      <c r="AH144" s="2538"/>
      <c r="AI144" s="2542"/>
      <c r="AJ144" s="2538"/>
      <c r="AK144" s="2538"/>
      <c r="AL144" s="1992"/>
      <c r="AM144" s="1827"/>
      <c r="AN144" s="1827"/>
      <c r="AO144" s="1827"/>
      <c r="AP144" s="1827"/>
      <c r="AQ144" s="1827"/>
      <c r="AR144" s="1827"/>
      <c r="AS144" s="1827"/>
      <c r="AT144" s="1827"/>
      <c r="AU144" s="1827"/>
      <c r="AV144" s="1827"/>
      <c r="AW144" s="1827"/>
      <c r="AX144" s="1827"/>
      <c r="AY144" s="1827"/>
      <c r="AZ144" s="1827"/>
      <c r="BA144" s="1827"/>
      <c r="BB144" s="1827"/>
      <c r="BC144" s="1827"/>
      <c r="BD144" s="1827"/>
      <c r="BE144" s="1827"/>
      <c r="BF144" s="1827"/>
      <c r="BG144" s="1639"/>
    </row>
    <row customHeight="1" ht="0.75">
      <c r="A145" s="1170" t="s">
        <v>1261</v>
      </c>
      <c r="B145" s="1170"/>
      <c r="C145" s="1170"/>
      <c r="D145" s="1164"/>
      <c r="E145" s="1174"/>
      <c r="F145" s="2540"/>
      <c r="G145" s="2519"/>
      <c r="H145" s="2544"/>
      <c r="I145" s="2545"/>
      <c r="J145" s="2546"/>
      <c r="K145" s="2546"/>
      <c r="L145" s="2538"/>
      <c r="M145" s="2272"/>
      <c r="N145" s="2547"/>
      <c r="O145" s="2548"/>
      <c r="P145" s="2592"/>
      <c r="Q145" s="2543"/>
      <c r="R145" s="2543"/>
      <c r="S145" s="2543"/>
      <c r="T145" s="2543"/>
      <c r="U145" s="2543"/>
      <c r="V145" s="2543"/>
      <c r="W145" s="2543"/>
      <c r="X145" s="2543"/>
      <c r="Y145" s="2543"/>
      <c r="Z145" s="2041"/>
      <c r="AA145" s="2042"/>
      <c r="AB145" s="2042"/>
      <c r="AC145" s="2043"/>
      <c r="AD145" s="2043"/>
      <c r="AE145" s="2044"/>
      <c r="AF145" s="2542"/>
      <c r="AG145" s="2538"/>
      <c r="AH145" s="2538"/>
      <c r="AI145" s="2542"/>
      <c r="AJ145" s="2538"/>
      <c r="AK145" s="2538"/>
      <c r="AL145" s="1992"/>
      <c r="AM145" s="1827"/>
      <c r="AN145" s="1827"/>
      <c r="AO145" s="1827"/>
      <c r="AP145" s="1827"/>
      <c r="AQ145" s="1827"/>
      <c r="AR145" s="1827"/>
      <c r="AS145" s="1827"/>
      <c r="AT145" s="1827"/>
      <c r="AU145" s="1827"/>
      <c r="AV145" s="1827"/>
      <c r="AW145" s="1827"/>
      <c r="AX145" s="1827"/>
      <c r="AY145" s="1827"/>
      <c r="AZ145" s="1827"/>
      <c r="BA145" s="1827"/>
      <c r="BB145" s="1827"/>
      <c r="BC145" s="1827"/>
      <c r="BD145" s="1827"/>
      <c r="BE145" s="1827"/>
      <c r="BF145" s="1827"/>
      <c r="BG145" s="1639"/>
    </row>
    <row customHeight="1" ht="0.75">
      <c r="A146" s="1170" t="s">
        <v>1261</v>
      </c>
      <c r="B146" s="1170"/>
      <c r="C146" s="1170"/>
      <c r="D146" s="1164"/>
      <c r="E146" s="1174"/>
      <c r="F146" s="2540"/>
      <c r="G146" s="2519"/>
      <c r="H146" s="2544"/>
      <c r="I146" s="2545"/>
      <c r="J146" s="2546"/>
      <c r="K146" s="2546"/>
      <c r="L146" s="2538"/>
      <c r="M146" s="2272"/>
      <c r="N146" s="2547"/>
      <c r="O146" s="2548"/>
      <c r="P146" s="2593"/>
      <c r="Q146" s="2543"/>
      <c r="R146" s="2543"/>
      <c r="S146" s="2543"/>
      <c r="T146" s="2543"/>
      <c r="U146" s="2543"/>
      <c r="V146" s="2543"/>
      <c r="W146" s="2543"/>
      <c r="X146" s="2543"/>
      <c r="Y146" s="2543"/>
      <c r="Z146" s="2045"/>
      <c r="AA146" s="2046"/>
      <c r="AB146" s="2047"/>
      <c r="AC146" s="2048"/>
      <c r="AD146" s="2047"/>
      <c r="AE146" s="2048"/>
      <c r="AF146" s="2542"/>
      <c r="AG146" s="2538"/>
      <c r="AH146" s="2538"/>
      <c r="AI146" s="2542"/>
      <c r="AJ146" s="2538"/>
      <c r="AK146" s="2538"/>
      <c r="AL146" s="1992"/>
      <c r="AM146" s="1827"/>
      <c r="AN146" s="1827"/>
      <c r="AO146" s="1827"/>
      <c r="AP146" s="1827"/>
      <c r="AQ146" s="1827"/>
      <c r="AR146" s="1827"/>
      <c r="AS146" s="1827"/>
      <c r="AT146" s="1827"/>
      <c r="AU146" s="1827"/>
      <c r="AV146" s="1827"/>
      <c r="AW146" s="1827"/>
      <c r="AX146" s="1827"/>
      <c r="AY146" s="1827"/>
      <c r="AZ146" s="1827"/>
      <c r="BA146" s="1827"/>
      <c r="BB146" s="1827"/>
      <c r="BC146" s="1827"/>
      <c r="BD146" s="1827"/>
      <c r="BE146" s="1827"/>
      <c r="BF146" s="1827"/>
      <c r="BG146" s="1639"/>
    </row>
    <row customHeight="1" ht="0.75">
      <c r="A147" s="1170" t="s">
        <v>1261</v>
      </c>
      <c r="B147" s="1170"/>
      <c r="C147" s="1170"/>
      <c r="D147" s="1164"/>
      <c r="E147" s="1174"/>
      <c r="F147" s="2540"/>
      <c r="G147" s="2519"/>
      <c r="H147" s="2544"/>
      <c r="I147" s="2545"/>
      <c r="J147" s="2546"/>
      <c r="K147" s="2546"/>
      <c r="L147" s="2538"/>
      <c r="M147" s="2272"/>
      <c r="N147" s="2547"/>
      <c r="O147" s="2548"/>
      <c r="P147" s="2594"/>
      <c r="Q147" s="2543"/>
      <c r="R147" s="2543"/>
      <c r="S147" s="2543"/>
      <c r="T147" s="2543"/>
      <c r="U147" s="2543"/>
      <c r="V147" s="2543"/>
      <c r="W147" s="2543"/>
      <c r="X147" s="2543"/>
      <c r="Y147" s="2543"/>
      <c r="Z147" s="2041"/>
      <c r="AA147" s="2042"/>
      <c r="AB147" s="2049"/>
      <c r="AC147" s="2043"/>
      <c r="AD147" s="2043"/>
      <c r="AE147" s="2050"/>
      <c r="AF147" s="2542"/>
      <c r="AG147" s="2538"/>
      <c r="AH147" s="2538"/>
      <c r="AI147" s="2542"/>
      <c r="AJ147" s="2538"/>
      <c r="AK147" s="2538"/>
      <c r="AL147" s="1992"/>
      <c r="AM147" s="1827"/>
      <c r="AN147" s="1827"/>
      <c r="AO147" s="1827"/>
      <c r="AP147" s="1827"/>
      <c r="AQ147" s="1827"/>
      <c r="AR147" s="1827"/>
      <c r="AS147" s="1827"/>
      <c r="AT147" s="1827"/>
      <c r="AU147" s="1827"/>
      <c r="AV147" s="1827"/>
      <c r="AW147" s="1827"/>
      <c r="AX147" s="1827"/>
      <c r="AY147" s="1827"/>
      <c r="AZ147" s="1827"/>
      <c r="BA147" s="1827"/>
      <c r="BB147" s="1827"/>
      <c r="BC147" s="1827"/>
      <c r="BD147" s="1827"/>
      <c r="BE147" s="1827"/>
      <c r="BF147" s="1827"/>
      <c r="BG147" s="1639"/>
    </row>
    <row customHeight="1" ht="0.75">
      <c r="A148" s="1170" t="s">
        <v>1261</v>
      </c>
      <c r="B148" s="1170"/>
      <c r="C148" s="1170"/>
      <c r="D148" s="1164"/>
      <c r="E148" s="1174"/>
      <c r="F148" s="2540"/>
      <c r="G148" s="2519"/>
      <c r="H148" s="2544"/>
      <c r="I148" s="2545"/>
      <c r="J148" s="2546"/>
      <c r="K148" s="2546"/>
      <c r="L148" s="2538"/>
      <c r="M148" s="2272"/>
      <c r="N148" s="2042"/>
      <c r="O148" s="2042"/>
      <c r="P148" s="2049"/>
      <c r="Q148" s="2042"/>
      <c r="R148" s="2042"/>
      <c r="S148" s="2042"/>
      <c r="T148" s="2042"/>
      <c r="U148" s="2042"/>
      <c r="V148" s="2042"/>
      <c r="W148" s="2042"/>
      <c r="X148" s="2042"/>
      <c r="Y148" s="2042"/>
      <c r="Z148" s="2042"/>
      <c r="AA148" s="2042"/>
      <c r="AB148" s="2042"/>
      <c r="AC148" s="2042"/>
      <c r="AD148" s="2042"/>
      <c r="AE148" s="2051"/>
      <c r="AF148" s="2542"/>
      <c r="AG148" s="2538"/>
      <c r="AH148" s="2538"/>
      <c r="AI148" s="2542"/>
      <c r="AJ148" s="2538"/>
      <c r="AK148" s="2538"/>
      <c r="AL148" s="1992"/>
      <c r="AM148" s="1827"/>
      <c r="AN148" s="1827"/>
      <c r="AO148" s="1827"/>
      <c r="AP148" s="1827"/>
      <c r="AQ148" s="1827"/>
      <c r="AR148" s="1827"/>
      <c r="AS148" s="1827"/>
      <c r="AT148" s="1827"/>
      <c r="AU148" s="1827"/>
      <c r="AV148" s="1827"/>
      <c r="AW148" s="1827"/>
      <c r="AX148" s="1827"/>
      <c r="AY148" s="1827"/>
      <c r="AZ148" s="1827"/>
      <c r="BA148" s="1827"/>
      <c r="BB148" s="1827"/>
      <c r="BC148" s="1827"/>
      <c r="BD148" s="1827"/>
      <c r="BE148" s="1827"/>
      <c r="BF148" s="1827"/>
      <c r="BG148" s="1639"/>
    </row>
    <row customHeight="1" ht="12">
      <c r="A149" s="1170" t="s">
        <v>1261</v>
      </c>
      <c r="B149" s="1170"/>
      <c r="C149" s="1170"/>
      <c r="D149" s="1164"/>
      <c r="E149" s="1174"/>
      <c r="F149" s="2541"/>
      <c r="G149" s="1194"/>
      <c r="H149" s="1194"/>
      <c r="I149" s="2539" t="s">
        <v>1321</v>
      </c>
      <c r="J149" s="2539"/>
      <c r="K149" s="2539"/>
      <c r="L149" s="1177"/>
      <c r="M149" s="1177"/>
      <c r="N149" s="1178"/>
      <c r="O149" s="1178"/>
      <c r="P149" s="1178"/>
      <c r="Q149" s="1178"/>
      <c r="R149" s="1178"/>
      <c r="S149" s="1178"/>
      <c r="T149" s="1178"/>
      <c r="U149" s="1178"/>
      <c r="V149" s="1178"/>
      <c r="W149" s="1178"/>
      <c r="X149" s="1178"/>
      <c r="Y149" s="1178"/>
      <c r="Z149" s="1178"/>
      <c r="AA149" s="1178"/>
      <c r="AB149" s="1178"/>
      <c r="AC149" s="1178"/>
      <c r="AD149" s="1178"/>
      <c r="AE149" s="1178"/>
      <c r="AF149" s="1178"/>
      <c r="AG149" s="1177"/>
      <c r="AH149" s="1177"/>
      <c r="AI149" s="1178"/>
      <c r="AJ149" s="1177"/>
      <c r="AK149" s="1178"/>
      <c r="AL149" s="1992"/>
      <c r="AM149" s="1827"/>
      <c r="AN149" s="1827"/>
      <c r="AO149" s="1827"/>
      <c r="AP149" s="1827"/>
      <c r="AQ149" s="1827"/>
      <c r="AR149" s="1827"/>
      <c r="AS149" s="1827"/>
      <c r="AT149" s="1827"/>
      <c r="AU149" s="1827"/>
      <c r="AV149" s="1827"/>
      <c r="AW149" s="1827"/>
      <c r="AX149" s="1827"/>
      <c r="AY149" s="1827"/>
      <c r="AZ149" s="1827"/>
      <c r="BA149" s="1827"/>
      <c r="BB149" s="1827"/>
      <c r="BC149" s="1827"/>
      <c r="BD149" s="1827"/>
      <c r="BE149" s="1827"/>
      <c r="BF149" s="1827"/>
      <c r="BG149" s="1639"/>
    </row>
    <row customHeight="1" ht="0.75">
      <c r="A150" s="1170" t="s">
        <v>1261</v>
      </c>
      <c r="B150" s="1170"/>
      <c r="C150" s="1170"/>
      <c r="D150" s="1164"/>
      <c r="E150" s="1174"/>
      <c r="F150" s="2540">
        <v>2035</v>
      </c>
      <c r="G150" s="2519"/>
      <c r="H150" s="2544" t="s">
        <v>394</v>
      </c>
      <c r="I150" s="2545"/>
      <c r="J150" s="2546"/>
      <c r="K150" s="2546"/>
      <c r="L150" s="2538"/>
      <c r="M150" s="2272"/>
      <c r="N150" s="2040"/>
      <c r="O150" s="2039"/>
      <c r="P150" s="2040"/>
      <c r="Q150" s="2040"/>
      <c r="R150" s="2040"/>
      <c r="S150" s="2040"/>
      <c r="T150" s="2040"/>
      <c r="U150" s="2040"/>
      <c r="V150" s="2040"/>
      <c r="W150" s="2040"/>
      <c r="X150" s="2040"/>
      <c r="Y150" s="2040"/>
      <c r="Z150" s="2040"/>
      <c r="AA150" s="2040"/>
      <c r="AB150" s="2040"/>
      <c r="AC150" s="2040"/>
      <c r="AD150" s="2040"/>
      <c r="AE150" s="2040"/>
      <c r="AF150" s="2542"/>
      <c r="AG150" s="2538"/>
      <c r="AH150" s="2538"/>
      <c r="AI150" s="2542"/>
      <c r="AJ150" s="2538"/>
      <c r="AK150" s="2538"/>
      <c r="AL150" s="1992"/>
      <c r="AM150" s="1827"/>
      <c r="AN150" s="1827"/>
      <c r="AO150" s="1827"/>
      <c r="AP150" s="1827"/>
      <c r="AQ150" s="1827"/>
      <c r="AR150" s="1827"/>
      <c r="AS150" s="1827"/>
      <c r="AT150" s="1827"/>
      <c r="AU150" s="1827"/>
      <c r="AV150" s="1827"/>
      <c r="AW150" s="1827"/>
      <c r="AX150" s="1827"/>
      <c r="AY150" s="1827"/>
      <c r="AZ150" s="1827"/>
      <c r="BA150" s="1827"/>
      <c r="BB150" s="1827"/>
      <c r="BC150" s="1827"/>
      <c r="BD150" s="1827"/>
      <c r="BE150" s="1827"/>
      <c r="BF150" s="1827"/>
      <c r="BG150" s="1639"/>
    </row>
    <row customHeight="1" ht="0.75">
      <c r="A151" s="1170" t="s">
        <v>1261</v>
      </c>
      <c r="B151" s="1170"/>
      <c r="C151" s="1170"/>
      <c r="D151" s="1164"/>
      <c r="E151" s="1174"/>
      <c r="F151" s="2540"/>
      <c r="G151" s="2519"/>
      <c r="H151" s="2544"/>
      <c r="I151" s="2545"/>
      <c r="J151" s="2546"/>
      <c r="K151" s="2546"/>
      <c r="L151" s="2538"/>
      <c r="M151" s="2272"/>
      <c r="N151" s="2547"/>
      <c r="O151" s="2548"/>
      <c r="P151" s="2592"/>
      <c r="Q151" s="2543"/>
      <c r="R151" s="2543"/>
      <c r="S151" s="2543"/>
      <c r="T151" s="2543"/>
      <c r="U151" s="2543"/>
      <c r="V151" s="2543"/>
      <c r="W151" s="2543"/>
      <c r="X151" s="2543"/>
      <c r="Y151" s="2543"/>
      <c r="Z151" s="2041"/>
      <c r="AA151" s="2042"/>
      <c r="AB151" s="2042"/>
      <c r="AC151" s="2043"/>
      <c r="AD151" s="2043"/>
      <c r="AE151" s="2044"/>
      <c r="AF151" s="2542"/>
      <c r="AG151" s="2538"/>
      <c r="AH151" s="2538"/>
      <c r="AI151" s="2542"/>
      <c r="AJ151" s="2538"/>
      <c r="AK151" s="2538"/>
      <c r="AL151" s="1992"/>
      <c r="AM151" s="1827"/>
      <c r="AN151" s="1827"/>
      <c r="AO151" s="1827"/>
      <c r="AP151" s="1827"/>
      <c r="AQ151" s="1827"/>
      <c r="AR151" s="1827"/>
      <c r="AS151" s="1827"/>
      <c r="AT151" s="1827"/>
      <c r="AU151" s="1827"/>
      <c r="AV151" s="1827"/>
      <c r="AW151" s="1827"/>
      <c r="AX151" s="1827"/>
      <c r="AY151" s="1827"/>
      <c r="AZ151" s="1827"/>
      <c r="BA151" s="1827"/>
      <c r="BB151" s="1827"/>
      <c r="BC151" s="1827"/>
      <c r="BD151" s="1827"/>
      <c r="BE151" s="1827"/>
      <c r="BF151" s="1827"/>
      <c r="BG151" s="1639"/>
    </row>
    <row customHeight="1" ht="0.75">
      <c r="A152" s="1170" t="s">
        <v>1261</v>
      </c>
      <c r="B152" s="1170"/>
      <c r="C152" s="1170"/>
      <c r="D152" s="1164"/>
      <c r="E152" s="1174"/>
      <c r="F152" s="2540"/>
      <c r="G152" s="2519"/>
      <c r="H152" s="2544"/>
      <c r="I152" s="2545"/>
      <c r="J152" s="2546"/>
      <c r="K152" s="2546"/>
      <c r="L152" s="2538"/>
      <c r="M152" s="2272"/>
      <c r="N152" s="2547"/>
      <c r="O152" s="2548"/>
      <c r="P152" s="2593"/>
      <c r="Q152" s="2543"/>
      <c r="R152" s="2543"/>
      <c r="S152" s="2543"/>
      <c r="T152" s="2543"/>
      <c r="U152" s="2543"/>
      <c r="V152" s="2543"/>
      <c r="W152" s="2543"/>
      <c r="X152" s="2543"/>
      <c r="Y152" s="2543"/>
      <c r="Z152" s="2045"/>
      <c r="AA152" s="2046"/>
      <c r="AB152" s="2047"/>
      <c r="AC152" s="2048"/>
      <c r="AD152" s="2047"/>
      <c r="AE152" s="2048"/>
      <c r="AF152" s="2542"/>
      <c r="AG152" s="2538"/>
      <c r="AH152" s="2538"/>
      <c r="AI152" s="2542"/>
      <c r="AJ152" s="2538"/>
      <c r="AK152" s="2538"/>
      <c r="AL152" s="1992"/>
      <c r="AM152" s="1827"/>
      <c r="AN152" s="1827"/>
      <c r="AO152" s="1827"/>
      <c r="AP152" s="1827"/>
      <c r="AQ152" s="1827"/>
      <c r="AR152" s="1827"/>
      <c r="AS152" s="1827"/>
      <c r="AT152" s="1827"/>
      <c r="AU152" s="1827"/>
      <c r="AV152" s="1827"/>
      <c r="AW152" s="1827"/>
      <c r="AX152" s="1827"/>
      <c r="AY152" s="1827"/>
      <c r="AZ152" s="1827"/>
      <c r="BA152" s="1827"/>
      <c r="BB152" s="1827"/>
      <c r="BC152" s="1827"/>
      <c r="BD152" s="1827"/>
      <c r="BE152" s="1827"/>
      <c r="BF152" s="1827"/>
      <c r="BG152" s="1639"/>
    </row>
    <row customHeight="1" ht="0.75">
      <c r="A153" s="1170" t="s">
        <v>1261</v>
      </c>
      <c r="B153" s="1170"/>
      <c r="C153" s="1170"/>
      <c r="D153" s="1164"/>
      <c r="E153" s="1174"/>
      <c r="F153" s="2540"/>
      <c r="G153" s="2519"/>
      <c r="H153" s="2544"/>
      <c r="I153" s="2545"/>
      <c r="J153" s="2546"/>
      <c r="K153" s="2546"/>
      <c r="L153" s="2538"/>
      <c r="M153" s="2272"/>
      <c r="N153" s="2547"/>
      <c r="O153" s="2548"/>
      <c r="P153" s="2594"/>
      <c r="Q153" s="2543"/>
      <c r="R153" s="2543"/>
      <c r="S153" s="2543"/>
      <c r="T153" s="2543"/>
      <c r="U153" s="2543"/>
      <c r="V153" s="2543"/>
      <c r="W153" s="2543"/>
      <c r="X153" s="2543"/>
      <c r="Y153" s="2543"/>
      <c r="Z153" s="2041"/>
      <c r="AA153" s="2042"/>
      <c r="AB153" s="2049"/>
      <c r="AC153" s="2043"/>
      <c r="AD153" s="2043"/>
      <c r="AE153" s="2050"/>
      <c r="AF153" s="2542"/>
      <c r="AG153" s="2538"/>
      <c r="AH153" s="2538"/>
      <c r="AI153" s="2542"/>
      <c r="AJ153" s="2538"/>
      <c r="AK153" s="2538"/>
      <c r="AL153" s="1992"/>
      <c r="AM153" s="1827"/>
      <c r="AN153" s="1827"/>
      <c r="AO153" s="1827"/>
      <c r="AP153" s="1827"/>
      <c r="AQ153" s="1827"/>
      <c r="AR153" s="1827"/>
      <c r="AS153" s="1827"/>
      <c r="AT153" s="1827"/>
      <c r="AU153" s="1827"/>
      <c r="AV153" s="1827"/>
      <c r="AW153" s="1827"/>
      <c r="AX153" s="1827"/>
      <c r="AY153" s="1827"/>
      <c r="AZ153" s="1827"/>
      <c r="BA153" s="1827"/>
      <c r="BB153" s="1827"/>
      <c r="BC153" s="1827"/>
      <c r="BD153" s="1827"/>
      <c r="BE153" s="1827"/>
      <c r="BF153" s="1827"/>
      <c r="BG153" s="1639"/>
    </row>
    <row customHeight="1" ht="0.75">
      <c r="A154" s="1170" t="s">
        <v>1261</v>
      </c>
      <c r="B154" s="1170"/>
      <c r="C154" s="1170"/>
      <c r="D154" s="1164"/>
      <c r="E154" s="1174"/>
      <c r="F154" s="2540"/>
      <c r="G154" s="2519"/>
      <c r="H154" s="2544"/>
      <c r="I154" s="2545"/>
      <c r="J154" s="2546"/>
      <c r="K154" s="2546"/>
      <c r="L154" s="2538"/>
      <c r="M154" s="2272"/>
      <c r="N154" s="2042"/>
      <c r="O154" s="2042"/>
      <c r="P154" s="2049"/>
      <c r="Q154" s="2042"/>
      <c r="R154" s="2042"/>
      <c r="S154" s="2042"/>
      <c r="T154" s="2042"/>
      <c r="U154" s="2042"/>
      <c r="V154" s="2042"/>
      <c r="W154" s="2042"/>
      <c r="X154" s="2042"/>
      <c r="Y154" s="2042"/>
      <c r="Z154" s="2042"/>
      <c r="AA154" s="2042"/>
      <c r="AB154" s="2042"/>
      <c r="AC154" s="2042"/>
      <c r="AD154" s="2042"/>
      <c r="AE154" s="2051"/>
      <c r="AF154" s="2542"/>
      <c r="AG154" s="2538"/>
      <c r="AH154" s="2538"/>
      <c r="AI154" s="2542"/>
      <c r="AJ154" s="2538"/>
      <c r="AK154" s="2538"/>
      <c r="AL154" s="1992"/>
      <c r="AM154" s="1827"/>
      <c r="AN154" s="1827"/>
      <c r="AO154" s="1827"/>
      <c r="AP154" s="1827"/>
      <c r="AQ154" s="1827"/>
      <c r="AR154" s="1827"/>
      <c r="AS154" s="1827"/>
      <c r="AT154" s="1827"/>
      <c r="AU154" s="1827"/>
      <c r="AV154" s="1827"/>
      <c r="AW154" s="1827"/>
      <c r="AX154" s="1827"/>
      <c r="AY154" s="1827"/>
      <c r="AZ154" s="1827"/>
      <c r="BA154" s="1827"/>
      <c r="BB154" s="1827"/>
      <c r="BC154" s="1827"/>
      <c r="BD154" s="1827"/>
      <c r="BE154" s="1827"/>
      <c r="BF154" s="1827"/>
      <c r="BG154" s="1639"/>
    </row>
    <row customHeight="1" ht="12">
      <c r="A155" s="1170" t="s">
        <v>1261</v>
      </c>
      <c r="B155" s="1170"/>
      <c r="C155" s="1170"/>
      <c r="D155" s="1164"/>
      <c r="E155" s="1174"/>
      <c r="F155" s="2541"/>
      <c r="G155" s="1194"/>
      <c r="H155" s="1194"/>
      <c r="I155" s="2539" t="s">
        <v>1321</v>
      </c>
      <c r="J155" s="2539"/>
      <c r="K155" s="2539"/>
      <c r="L155" s="1177"/>
      <c r="M155" s="1177"/>
      <c r="N155" s="1178"/>
      <c r="O155" s="1178"/>
      <c r="P155" s="1178"/>
      <c r="Q155" s="1178"/>
      <c r="R155" s="1178"/>
      <c r="S155" s="1178"/>
      <c r="T155" s="1178"/>
      <c r="U155" s="1178"/>
      <c r="V155" s="1178"/>
      <c r="W155" s="1178"/>
      <c r="X155" s="1178"/>
      <c r="Y155" s="1178"/>
      <c r="Z155" s="1178"/>
      <c r="AA155" s="1178"/>
      <c r="AB155" s="1178"/>
      <c r="AC155" s="1178"/>
      <c r="AD155" s="1178"/>
      <c r="AE155" s="1178"/>
      <c r="AF155" s="1178"/>
      <c r="AG155" s="1177"/>
      <c r="AH155" s="1177"/>
      <c r="AI155" s="1178"/>
      <c r="AJ155" s="1177"/>
      <c r="AK155" s="1178"/>
      <c r="AL155" s="1992"/>
      <c r="AM155" s="1827"/>
      <c r="AN155" s="1827"/>
      <c r="AO155" s="1827"/>
      <c r="AP155" s="1827"/>
      <c r="AQ155" s="1827"/>
      <c r="AR155" s="1827"/>
      <c r="AS155" s="1827"/>
      <c r="AT155" s="1827"/>
      <c r="AU155" s="1827"/>
      <c r="AV155" s="1827"/>
      <c r="AW155" s="1827"/>
      <c r="AX155" s="1827"/>
      <c r="AY155" s="1827"/>
      <c r="AZ155" s="1827"/>
      <c r="BA155" s="1827"/>
      <c r="BB155" s="1827"/>
      <c r="BC155" s="1827"/>
      <c r="BD155" s="1827"/>
      <c r="BE155" s="1827"/>
      <c r="BF155" s="1827"/>
      <c r="BG155" s="1639"/>
    </row>
    <row customHeight="1" ht="0.75">
      <c r="A156" s="1170" t="s">
        <v>1261</v>
      </c>
      <c r="B156" s="1170"/>
      <c r="C156" s="1170"/>
      <c r="D156" s="1164"/>
      <c r="E156" s="1174"/>
      <c r="F156" s="2540">
        <v>2036</v>
      </c>
      <c r="G156" s="2519"/>
      <c r="H156" s="2544" t="s">
        <v>394</v>
      </c>
      <c r="I156" s="2545"/>
      <c r="J156" s="2546"/>
      <c r="K156" s="2546"/>
      <c r="L156" s="2538"/>
      <c r="M156" s="2272"/>
      <c r="N156" s="2040"/>
      <c r="O156" s="2039"/>
      <c r="P156" s="2040"/>
      <c r="Q156" s="2040"/>
      <c r="R156" s="2040"/>
      <c r="S156" s="2040"/>
      <c r="T156" s="2040"/>
      <c r="U156" s="2040"/>
      <c r="V156" s="2040"/>
      <c r="W156" s="2040"/>
      <c r="X156" s="2040"/>
      <c r="Y156" s="2040"/>
      <c r="Z156" s="2040"/>
      <c r="AA156" s="2040"/>
      <c r="AB156" s="2040"/>
      <c r="AC156" s="2040"/>
      <c r="AD156" s="2040"/>
      <c r="AE156" s="2040"/>
      <c r="AF156" s="2542"/>
      <c r="AG156" s="2538"/>
      <c r="AH156" s="2538"/>
      <c r="AI156" s="2542"/>
      <c r="AJ156" s="2538"/>
      <c r="AK156" s="2538"/>
      <c r="AL156" s="1992"/>
      <c r="AM156" s="1827"/>
      <c r="AN156" s="1827"/>
      <c r="AO156" s="1827"/>
      <c r="AP156" s="1827"/>
      <c r="AQ156" s="1827"/>
      <c r="AR156" s="1827"/>
      <c r="AS156" s="1827"/>
      <c r="AT156" s="1827"/>
      <c r="AU156" s="1827"/>
      <c r="AV156" s="1827"/>
      <c r="AW156" s="1827"/>
      <c r="AX156" s="1827"/>
      <c r="AY156" s="1827"/>
      <c r="AZ156" s="1827"/>
      <c r="BA156" s="1827"/>
      <c r="BB156" s="1827"/>
      <c r="BC156" s="1827"/>
      <c r="BD156" s="1827"/>
      <c r="BE156" s="1827"/>
      <c r="BF156" s="1827"/>
      <c r="BG156" s="1639"/>
    </row>
    <row customHeight="1" ht="0.75">
      <c r="A157" s="1170" t="s">
        <v>1261</v>
      </c>
      <c r="B157" s="1170"/>
      <c r="C157" s="1170"/>
      <c r="D157" s="1164"/>
      <c r="E157" s="1174"/>
      <c r="F157" s="2540"/>
      <c r="G157" s="2519"/>
      <c r="H157" s="2544"/>
      <c r="I157" s="2545"/>
      <c r="J157" s="2546"/>
      <c r="K157" s="2546"/>
      <c r="L157" s="2538"/>
      <c r="M157" s="2272"/>
      <c r="N157" s="2547"/>
      <c r="O157" s="2548"/>
      <c r="P157" s="2592"/>
      <c r="Q157" s="2543"/>
      <c r="R157" s="2543"/>
      <c r="S157" s="2543"/>
      <c r="T157" s="2543"/>
      <c r="U157" s="2543"/>
      <c r="V157" s="2543"/>
      <c r="W157" s="2543"/>
      <c r="X157" s="2543"/>
      <c r="Y157" s="2543"/>
      <c r="Z157" s="2041"/>
      <c r="AA157" s="2042"/>
      <c r="AB157" s="2042"/>
      <c r="AC157" s="2043"/>
      <c r="AD157" s="2043"/>
      <c r="AE157" s="2044"/>
      <c r="AF157" s="2542"/>
      <c r="AG157" s="2538"/>
      <c r="AH157" s="2538"/>
      <c r="AI157" s="2542"/>
      <c r="AJ157" s="2538"/>
      <c r="AK157" s="2538"/>
      <c r="AL157" s="1992"/>
      <c r="AM157" s="1827"/>
      <c r="AN157" s="1827"/>
      <c r="AO157" s="1827"/>
      <c r="AP157" s="1827"/>
      <c r="AQ157" s="1827"/>
      <c r="AR157" s="1827"/>
      <c r="AS157" s="1827"/>
      <c r="AT157" s="1827"/>
      <c r="AU157" s="1827"/>
      <c r="AV157" s="1827"/>
      <c r="AW157" s="1827"/>
      <c r="AX157" s="1827"/>
      <c r="AY157" s="1827"/>
      <c r="AZ157" s="1827"/>
      <c r="BA157" s="1827"/>
      <c r="BB157" s="1827"/>
      <c r="BC157" s="1827"/>
      <c r="BD157" s="1827"/>
      <c r="BE157" s="1827"/>
      <c r="BF157" s="1827"/>
      <c r="BG157" s="1639"/>
    </row>
    <row customHeight="1" ht="0.75">
      <c r="A158" s="1170" t="s">
        <v>1261</v>
      </c>
      <c r="B158" s="1170"/>
      <c r="C158" s="1170"/>
      <c r="D158" s="1164"/>
      <c r="E158" s="1174"/>
      <c r="F158" s="2540"/>
      <c r="G158" s="2519"/>
      <c r="H158" s="2544"/>
      <c r="I158" s="2545"/>
      <c r="J158" s="2546"/>
      <c r="K158" s="2546"/>
      <c r="L158" s="2538"/>
      <c r="M158" s="2272"/>
      <c r="N158" s="2547"/>
      <c r="O158" s="2548"/>
      <c r="P158" s="2593"/>
      <c r="Q158" s="2543"/>
      <c r="R158" s="2543"/>
      <c r="S158" s="2543"/>
      <c r="T158" s="2543"/>
      <c r="U158" s="2543"/>
      <c r="V158" s="2543"/>
      <c r="W158" s="2543"/>
      <c r="X158" s="2543"/>
      <c r="Y158" s="2543"/>
      <c r="Z158" s="2045"/>
      <c r="AA158" s="2046"/>
      <c r="AB158" s="2047"/>
      <c r="AC158" s="2048"/>
      <c r="AD158" s="2047"/>
      <c r="AE158" s="2048"/>
      <c r="AF158" s="2542"/>
      <c r="AG158" s="2538"/>
      <c r="AH158" s="2538"/>
      <c r="AI158" s="2542"/>
      <c r="AJ158" s="2538"/>
      <c r="AK158" s="2538"/>
      <c r="AL158" s="1992"/>
      <c r="AM158" s="1827"/>
      <c r="AN158" s="1827"/>
      <c r="AO158" s="1827"/>
      <c r="AP158" s="1827"/>
      <c r="AQ158" s="1827"/>
      <c r="AR158" s="1827"/>
      <c r="AS158" s="1827"/>
      <c r="AT158" s="1827"/>
      <c r="AU158" s="1827"/>
      <c r="AV158" s="1827"/>
      <c r="AW158" s="1827"/>
      <c r="AX158" s="1827"/>
      <c r="AY158" s="1827"/>
      <c r="AZ158" s="1827"/>
      <c r="BA158" s="1827"/>
      <c r="BB158" s="1827"/>
      <c r="BC158" s="1827"/>
      <c r="BD158" s="1827"/>
      <c r="BE158" s="1827"/>
      <c r="BF158" s="1827"/>
      <c r="BG158" s="1639"/>
    </row>
    <row customHeight="1" ht="0.75">
      <c r="A159" s="1170" t="s">
        <v>1261</v>
      </c>
      <c r="B159" s="1170"/>
      <c r="C159" s="1170"/>
      <c r="D159" s="1164"/>
      <c r="E159" s="1174"/>
      <c r="F159" s="2540"/>
      <c r="G159" s="2519"/>
      <c r="H159" s="2544"/>
      <c r="I159" s="2545"/>
      <c r="J159" s="2546"/>
      <c r="K159" s="2546"/>
      <c r="L159" s="2538"/>
      <c r="M159" s="2272"/>
      <c r="N159" s="2547"/>
      <c r="O159" s="2548"/>
      <c r="P159" s="2594"/>
      <c r="Q159" s="2543"/>
      <c r="R159" s="2543"/>
      <c r="S159" s="2543"/>
      <c r="T159" s="2543"/>
      <c r="U159" s="2543"/>
      <c r="V159" s="2543"/>
      <c r="W159" s="2543"/>
      <c r="X159" s="2543"/>
      <c r="Y159" s="2543"/>
      <c r="Z159" s="2041"/>
      <c r="AA159" s="2042"/>
      <c r="AB159" s="2049"/>
      <c r="AC159" s="2043"/>
      <c r="AD159" s="2043"/>
      <c r="AE159" s="2050"/>
      <c r="AF159" s="2542"/>
      <c r="AG159" s="2538"/>
      <c r="AH159" s="2538"/>
      <c r="AI159" s="2542"/>
      <c r="AJ159" s="2538"/>
      <c r="AK159" s="2538"/>
      <c r="AL159" s="1992"/>
      <c r="AM159" s="1827"/>
      <c r="AN159" s="1827"/>
      <c r="AO159" s="1827"/>
      <c r="AP159" s="1827"/>
      <c r="AQ159" s="1827"/>
      <c r="AR159" s="1827"/>
      <c r="AS159" s="1827"/>
      <c r="AT159" s="1827"/>
      <c r="AU159" s="1827"/>
      <c r="AV159" s="1827"/>
      <c r="AW159" s="1827"/>
      <c r="AX159" s="1827"/>
      <c r="AY159" s="1827"/>
      <c r="AZ159" s="1827"/>
      <c r="BA159" s="1827"/>
      <c r="BB159" s="1827"/>
      <c r="BC159" s="1827"/>
      <c r="BD159" s="1827"/>
      <c r="BE159" s="1827"/>
      <c r="BF159" s="1827"/>
      <c r="BG159" s="1639"/>
    </row>
    <row customHeight="1" ht="0.75">
      <c r="A160" s="1170" t="s">
        <v>1261</v>
      </c>
      <c r="B160" s="1170"/>
      <c r="C160" s="1170"/>
      <c r="D160" s="1164"/>
      <c r="E160" s="1174"/>
      <c r="F160" s="2540"/>
      <c r="G160" s="2519"/>
      <c r="H160" s="2544"/>
      <c r="I160" s="2545"/>
      <c r="J160" s="2546"/>
      <c r="K160" s="2546"/>
      <c r="L160" s="2538"/>
      <c r="M160" s="2272"/>
      <c r="N160" s="2042"/>
      <c r="O160" s="2042"/>
      <c r="P160" s="2049"/>
      <c r="Q160" s="2042"/>
      <c r="R160" s="2042"/>
      <c r="S160" s="2042"/>
      <c r="T160" s="2042"/>
      <c r="U160" s="2042"/>
      <c r="V160" s="2042"/>
      <c r="W160" s="2042"/>
      <c r="X160" s="2042"/>
      <c r="Y160" s="2042"/>
      <c r="Z160" s="2042"/>
      <c r="AA160" s="2042"/>
      <c r="AB160" s="2042"/>
      <c r="AC160" s="2042"/>
      <c r="AD160" s="2042"/>
      <c r="AE160" s="2051"/>
      <c r="AF160" s="2542"/>
      <c r="AG160" s="2538"/>
      <c r="AH160" s="2538"/>
      <c r="AI160" s="2542"/>
      <c r="AJ160" s="2538"/>
      <c r="AK160" s="2538"/>
      <c r="AL160" s="1992"/>
      <c r="AM160" s="1827"/>
      <c r="AN160" s="1827"/>
      <c r="AO160" s="1827"/>
      <c r="AP160" s="1827"/>
      <c r="AQ160" s="1827"/>
      <c r="AR160" s="1827"/>
      <c r="AS160" s="1827"/>
      <c r="AT160" s="1827"/>
      <c r="AU160" s="1827"/>
      <c r="AV160" s="1827"/>
      <c r="AW160" s="1827"/>
      <c r="AX160" s="1827"/>
      <c r="AY160" s="1827"/>
      <c r="AZ160" s="1827"/>
      <c r="BA160" s="1827"/>
      <c r="BB160" s="1827"/>
      <c r="BC160" s="1827"/>
      <c r="BD160" s="1827"/>
      <c r="BE160" s="1827"/>
      <c r="BF160" s="1827"/>
      <c r="BG160" s="1639"/>
    </row>
    <row customHeight="1" ht="12">
      <c r="A161" s="1170" t="s">
        <v>1261</v>
      </c>
      <c r="B161" s="1170"/>
      <c r="C161" s="1170"/>
      <c r="D161" s="1164"/>
      <c r="E161" s="1174"/>
      <c r="F161" s="2541"/>
      <c r="G161" s="1194"/>
      <c r="H161" s="1194"/>
      <c r="I161" s="2539" t="s">
        <v>1321</v>
      </c>
      <c r="J161" s="2539"/>
      <c r="K161" s="2539"/>
      <c r="L161" s="1177"/>
      <c r="M161" s="1177"/>
      <c r="N161" s="1178"/>
      <c r="O161" s="1178"/>
      <c r="P161" s="1178"/>
      <c r="Q161" s="1178"/>
      <c r="R161" s="1178"/>
      <c r="S161" s="1178"/>
      <c r="T161" s="1178"/>
      <c r="U161" s="1178"/>
      <c r="V161" s="1178"/>
      <c r="W161" s="1178"/>
      <c r="X161" s="1178"/>
      <c r="Y161" s="1178"/>
      <c r="Z161" s="1178"/>
      <c r="AA161" s="1178"/>
      <c r="AB161" s="1178"/>
      <c r="AC161" s="1178"/>
      <c r="AD161" s="1178"/>
      <c r="AE161" s="1178"/>
      <c r="AF161" s="1178"/>
      <c r="AG161" s="1177"/>
      <c r="AH161" s="1177"/>
      <c r="AI161" s="1178"/>
      <c r="AJ161" s="1177"/>
      <c r="AK161" s="1178"/>
      <c r="AL161" s="1992"/>
      <c r="AM161" s="1827"/>
      <c r="AN161" s="1827"/>
      <c r="AO161" s="1827"/>
      <c r="AP161" s="1827"/>
      <c r="AQ161" s="1827"/>
      <c r="AR161" s="1827"/>
      <c r="AS161" s="1827"/>
      <c r="AT161" s="1827"/>
      <c r="AU161" s="1827"/>
      <c r="AV161" s="1827"/>
      <c r="AW161" s="1827"/>
      <c r="AX161" s="1827"/>
      <c r="AY161" s="1827"/>
      <c r="AZ161" s="1827"/>
      <c r="BA161" s="1827"/>
      <c r="BB161" s="1827"/>
      <c r="BC161" s="1827"/>
      <c r="BD161" s="1827"/>
      <c r="BE161" s="1827"/>
      <c r="BF161" s="1827"/>
      <c r="BG161" s="1639"/>
    </row>
    <row customHeight="1" ht="0.75">
      <c r="A162" s="1170" t="s">
        <v>1261</v>
      </c>
      <c r="B162" s="1170"/>
      <c r="C162" s="1170"/>
      <c r="D162" s="1164"/>
      <c r="E162" s="1174"/>
      <c r="F162" s="2540">
        <v>2037</v>
      </c>
      <c r="G162" s="2519"/>
      <c r="H162" s="2544" t="s">
        <v>394</v>
      </c>
      <c r="I162" s="2545"/>
      <c r="J162" s="2546"/>
      <c r="K162" s="2546"/>
      <c r="L162" s="2538"/>
      <c r="M162" s="2272"/>
      <c r="N162" s="2040"/>
      <c r="O162" s="2039"/>
      <c r="P162" s="2040"/>
      <c r="Q162" s="2040"/>
      <c r="R162" s="2040"/>
      <c r="S162" s="2040"/>
      <c r="T162" s="2040"/>
      <c r="U162" s="2040"/>
      <c r="V162" s="2040"/>
      <c r="W162" s="2040"/>
      <c r="X162" s="2040"/>
      <c r="Y162" s="2040"/>
      <c r="Z162" s="2040"/>
      <c r="AA162" s="2040"/>
      <c r="AB162" s="2040"/>
      <c r="AC162" s="2040"/>
      <c r="AD162" s="2040"/>
      <c r="AE162" s="2040"/>
      <c r="AF162" s="2542"/>
      <c r="AG162" s="2538"/>
      <c r="AH162" s="2538"/>
      <c r="AI162" s="2542"/>
      <c r="AJ162" s="2538"/>
      <c r="AK162" s="2538"/>
      <c r="AL162" s="1992"/>
      <c r="AM162" s="1827"/>
      <c r="AN162" s="1827"/>
      <c r="AO162" s="1827"/>
      <c r="AP162" s="1827"/>
      <c r="AQ162" s="1827"/>
      <c r="AR162" s="1827"/>
      <c r="AS162" s="1827"/>
      <c r="AT162" s="1827"/>
      <c r="AU162" s="1827"/>
      <c r="AV162" s="1827"/>
      <c r="AW162" s="1827"/>
      <c r="AX162" s="1827"/>
      <c r="AY162" s="1827"/>
      <c r="AZ162" s="1827"/>
      <c r="BA162" s="1827"/>
      <c r="BB162" s="1827"/>
      <c r="BC162" s="1827"/>
      <c r="BD162" s="1827"/>
      <c r="BE162" s="1827"/>
      <c r="BF162" s="1827"/>
      <c r="BG162" s="1639"/>
    </row>
    <row customHeight="1" ht="0.75">
      <c r="A163" s="1170" t="s">
        <v>1261</v>
      </c>
      <c r="B163" s="1170"/>
      <c r="C163" s="1170"/>
      <c r="D163" s="1164"/>
      <c r="E163" s="1174"/>
      <c r="F163" s="2540"/>
      <c r="G163" s="2519"/>
      <c r="H163" s="2544"/>
      <c r="I163" s="2545"/>
      <c r="J163" s="2546"/>
      <c r="K163" s="2546"/>
      <c r="L163" s="2538"/>
      <c r="M163" s="2272"/>
      <c r="N163" s="2547"/>
      <c r="O163" s="2548"/>
      <c r="P163" s="2592"/>
      <c r="Q163" s="2543"/>
      <c r="R163" s="2543"/>
      <c r="S163" s="2543"/>
      <c r="T163" s="2543"/>
      <c r="U163" s="2543"/>
      <c r="V163" s="2543"/>
      <c r="W163" s="2543"/>
      <c r="X163" s="2543"/>
      <c r="Y163" s="2543"/>
      <c r="Z163" s="2041"/>
      <c r="AA163" s="2042"/>
      <c r="AB163" s="2042"/>
      <c r="AC163" s="2043"/>
      <c r="AD163" s="2043"/>
      <c r="AE163" s="2044"/>
      <c r="AF163" s="2542"/>
      <c r="AG163" s="2538"/>
      <c r="AH163" s="2538"/>
      <c r="AI163" s="2542"/>
      <c r="AJ163" s="2538"/>
      <c r="AK163" s="2538"/>
      <c r="AL163" s="1992"/>
      <c r="AM163" s="1827"/>
      <c r="AN163" s="1827"/>
      <c r="AO163" s="1827"/>
      <c r="AP163" s="1827"/>
      <c r="AQ163" s="1827"/>
      <c r="AR163" s="1827"/>
      <c r="AS163" s="1827"/>
      <c r="AT163" s="1827"/>
      <c r="AU163" s="1827"/>
      <c r="AV163" s="1827"/>
      <c r="AW163" s="1827"/>
      <c r="AX163" s="1827"/>
      <c r="AY163" s="1827"/>
      <c r="AZ163" s="1827"/>
      <c r="BA163" s="1827"/>
      <c r="BB163" s="1827"/>
      <c r="BC163" s="1827"/>
      <c r="BD163" s="1827"/>
      <c r="BE163" s="1827"/>
      <c r="BF163" s="1827"/>
      <c r="BG163" s="1639"/>
    </row>
    <row customHeight="1" ht="0.75">
      <c r="A164" s="1170" t="s">
        <v>1261</v>
      </c>
      <c r="B164" s="1170"/>
      <c r="C164" s="1170"/>
      <c r="D164" s="1164"/>
      <c r="E164" s="1174"/>
      <c r="F164" s="2540"/>
      <c r="G164" s="2519"/>
      <c r="H164" s="2544"/>
      <c r="I164" s="2545"/>
      <c r="J164" s="2546"/>
      <c r="K164" s="2546"/>
      <c r="L164" s="2538"/>
      <c r="M164" s="2272"/>
      <c r="N164" s="2547"/>
      <c r="O164" s="2548"/>
      <c r="P164" s="2593"/>
      <c r="Q164" s="2543"/>
      <c r="R164" s="2543"/>
      <c r="S164" s="2543"/>
      <c r="T164" s="2543"/>
      <c r="U164" s="2543"/>
      <c r="V164" s="2543"/>
      <c r="W164" s="2543"/>
      <c r="X164" s="2543"/>
      <c r="Y164" s="2543"/>
      <c r="Z164" s="2045"/>
      <c r="AA164" s="2046"/>
      <c r="AB164" s="2047"/>
      <c r="AC164" s="2048"/>
      <c r="AD164" s="2047"/>
      <c r="AE164" s="2048"/>
      <c r="AF164" s="2542"/>
      <c r="AG164" s="2538"/>
      <c r="AH164" s="2538"/>
      <c r="AI164" s="2542"/>
      <c r="AJ164" s="2538"/>
      <c r="AK164" s="2538"/>
      <c r="AL164" s="1992"/>
      <c r="AM164" s="1827"/>
      <c r="AN164" s="1827"/>
      <c r="AO164" s="1827"/>
      <c r="AP164" s="1827"/>
      <c r="AQ164" s="1827"/>
      <c r="AR164" s="1827"/>
      <c r="AS164" s="1827"/>
      <c r="AT164" s="1827"/>
      <c r="AU164" s="1827"/>
      <c r="AV164" s="1827"/>
      <c r="AW164" s="1827"/>
      <c r="AX164" s="1827"/>
      <c r="AY164" s="1827"/>
      <c r="AZ164" s="1827"/>
      <c r="BA164" s="1827"/>
      <c r="BB164" s="1827"/>
      <c r="BC164" s="1827"/>
      <c r="BD164" s="1827"/>
      <c r="BE164" s="1827"/>
      <c r="BF164" s="1827"/>
      <c r="BG164" s="1639"/>
    </row>
    <row customHeight="1" ht="0.75">
      <c r="A165" s="1170" t="s">
        <v>1261</v>
      </c>
      <c r="B165" s="1170"/>
      <c r="C165" s="1170"/>
      <c r="D165" s="1164"/>
      <c r="E165" s="1174"/>
      <c r="F165" s="2540"/>
      <c r="G165" s="2519"/>
      <c r="H165" s="2544"/>
      <c r="I165" s="2545"/>
      <c r="J165" s="2546"/>
      <c r="K165" s="2546"/>
      <c r="L165" s="2538"/>
      <c r="M165" s="2272"/>
      <c r="N165" s="2547"/>
      <c r="O165" s="2548"/>
      <c r="P165" s="2594"/>
      <c r="Q165" s="2543"/>
      <c r="R165" s="2543"/>
      <c r="S165" s="2543"/>
      <c r="T165" s="2543"/>
      <c r="U165" s="2543"/>
      <c r="V165" s="2543"/>
      <c r="W165" s="2543"/>
      <c r="X165" s="2543"/>
      <c r="Y165" s="2543"/>
      <c r="Z165" s="2041"/>
      <c r="AA165" s="2042"/>
      <c r="AB165" s="2049"/>
      <c r="AC165" s="2043"/>
      <c r="AD165" s="2043"/>
      <c r="AE165" s="2050"/>
      <c r="AF165" s="2542"/>
      <c r="AG165" s="2538"/>
      <c r="AH165" s="2538"/>
      <c r="AI165" s="2542"/>
      <c r="AJ165" s="2538"/>
      <c r="AK165" s="2538"/>
      <c r="AL165" s="1992"/>
      <c r="AM165" s="1827"/>
      <c r="AN165" s="1827"/>
      <c r="AO165" s="1827"/>
      <c r="AP165" s="1827"/>
      <c r="AQ165" s="1827"/>
      <c r="AR165" s="1827"/>
      <c r="AS165" s="1827"/>
      <c r="AT165" s="1827"/>
      <c r="AU165" s="1827"/>
      <c r="AV165" s="1827"/>
      <c r="AW165" s="1827"/>
      <c r="AX165" s="1827"/>
      <c r="AY165" s="1827"/>
      <c r="AZ165" s="1827"/>
      <c r="BA165" s="1827"/>
      <c r="BB165" s="1827"/>
      <c r="BC165" s="1827"/>
      <c r="BD165" s="1827"/>
      <c r="BE165" s="1827"/>
      <c r="BF165" s="1827"/>
      <c r="BG165" s="1639"/>
    </row>
    <row customHeight="1" ht="0.75">
      <c r="A166" s="1170" t="s">
        <v>1261</v>
      </c>
      <c r="B166" s="1170"/>
      <c r="C166" s="1170"/>
      <c r="D166" s="1164"/>
      <c r="E166" s="1174"/>
      <c r="F166" s="2540"/>
      <c r="G166" s="2519"/>
      <c r="H166" s="2544"/>
      <c r="I166" s="2545"/>
      <c r="J166" s="2546"/>
      <c r="K166" s="2546"/>
      <c r="L166" s="2538"/>
      <c r="M166" s="2272"/>
      <c r="N166" s="2042"/>
      <c r="O166" s="2042"/>
      <c r="P166" s="2049"/>
      <c r="Q166" s="2042"/>
      <c r="R166" s="2042"/>
      <c r="S166" s="2042"/>
      <c r="T166" s="2042"/>
      <c r="U166" s="2042"/>
      <c r="V166" s="2042"/>
      <c r="W166" s="2042"/>
      <c r="X166" s="2042"/>
      <c r="Y166" s="2042"/>
      <c r="Z166" s="2042"/>
      <c r="AA166" s="2042"/>
      <c r="AB166" s="2042"/>
      <c r="AC166" s="2042"/>
      <c r="AD166" s="2042"/>
      <c r="AE166" s="2051"/>
      <c r="AF166" s="2542"/>
      <c r="AG166" s="2538"/>
      <c r="AH166" s="2538"/>
      <c r="AI166" s="2542"/>
      <c r="AJ166" s="2538"/>
      <c r="AK166" s="2538"/>
      <c r="AL166" s="1992"/>
      <c r="AM166" s="1827"/>
      <c r="AN166" s="1827"/>
      <c r="AO166" s="1827"/>
      <c r="AP166" s="1827"/>
      <c r="AQ166" s="1827"/>
      <c r="AR166" s="1827"/>
      <c r="AS166" s="1827"/>
      <c r="AT166" s="1827"/>
      <c r="AU166" s="1827"/>
      <c r="AV166" s="1827"/>
      <c r="AW166" s="1827"/>
      <c r="AX166" s="1827"/>
      <c r="AY166" s="1827"/>
      <c r="AZ166" s="1827"/>
      <c r="BA166" s="1827"/>
      <c r="BB166" s="1827"/>
      <c r="BC166" s="1827"/>
      <c r="BD166" s="1827"/>
      <c r="BE166" s="1827"/>
      <c r="BF166" s="1827"/>
      <c r="BG166" s="1639"/>
    </row>
    <row customHeight="1" ht="12">
      <c r="A167" s="1170" t="s">
        <v>1261</v>
      </c>
      <c r="B167" s="1170"/>
      <c r="C167" s="1170"/>
      <c r="D167" s="1164"/>
      <c r="E167" s="1174"/>
      <c r="F167" s="2541"/>
      <c r="G167" s="1194"/>
      <c r="H167" s="1194"/>
      <c r="I167" s="2539" t="s">
        <v>1321</v>
      </c>
      <c r="J167" s="2539"/>
      <c r="K167" s="2539"/>
      <c r="L167" s="1177"/>
      <c r="M167" s="1177"/>
      <c r="N167" s="1178"/>
      <c r="O167" s="1178"/>
      <c r="P167" s="1178"/>
      <c r="Q167" s="1178"/>
      <c r="R167" s="1178"/>
      <c r="S167" s="1178"/>
      <c r="T167" s="1178"/>
      <c r="U167" s="1178"/>
      <c r="V167" s="1178"/>
      <c r="W167" s="1178"/>
      <c r="X167" s="1178"/>
      <c r="Y167" s="1178"/>
      <c r="Z167" s="1178"/>
      <c r="AA167" s="1178"/>
      <c r="AB167" s="1178"/>
      <c r="AC167" s="1178"/>
      <c r="AD167" s="1178"/>
      <c r="AE167" s="1178"/>
      <c r="AF167" s="1178"/>
      <c r="AG167" s="1177"/>
      <c r="AH167" s="1177"/>
      <c r="AI167" s="1178"/>
      <c r="AJ167" s="1177"/>
      <c r="AK167" s="1178"/>
      <c r="AL167" s="1992"/>
      <c r="AM167" s="1827"/>
      <c r="AN167" s="1827"/>
      <c r="AO167" s="1827"/>
      <c r="AP167" s="1827"/>
      <c r="AQ167" s="1827"/>
      <c r="AR167" s="1827"/>
      <c r="AS167" s="1827"/>
      <c r="AT167" s="1827"/>
      <c r="AU167" s="1827"/>
      <c r="AV167" s="1827"/>
      <c r="AW167" s="1827"/>
      <c r="AX167" s="1827"/>
      <c r="AY167" s="1827"/>
      <c r="AZ167" s="1827"/>
      <c r="BA167" s="1827"/>
      <c r="BB167" s="1827"/>
      <c r="BC167" s="1827"/>
      <c r="BD167" s="1827"/>
      <c r="BE167" s="1827"/>
      <c r="BF167" s="1827"/>
      <c r="BG167" s="1639"/>
    </row>
    <row customHeight="1" ht="0.75">
      <c r="A168" s="1170" t="s">
        <v>1261</v>
      </c>
      <c r="B168" s="1170"/>
      <c r="C168" s="1170"/>
      <c r="D168" s="1164"/>
      <c r="E168" s="1174"/>
      <c r="F168" s="2540">
        <v>2038</v>
      </c>
      <c r="G168" s="2519"/>
      <c r="H168" s="2544" t="s">
        <v>394</v>
      </c>
      <c r="I168" s="2545"/>
      <c r="J168" s="2546"/>
      <c r="K168" s="2546"/>
      <c r="L168" s="2538"/>
      <c r="M168" s="2272"/>
      <c r="N168" s="2040"/>
      <c r="O168" s="2039"/>
      <c r="P168" s="2040"/>
      <c r="Q168" s="2040"/>
      <c r="R168" s="2040"/>
      <c r="S168" s="2040"/>
      <c r="T168" s="2040"/>
      <c r="U168" s="2040"/>
      <c r="V168" s="2040"/>
      <c r="W168" s="2040"/>
      <c r="X168" s="2040"/>
      <c r="Y168" s="2040"/>
      <c r="Z168" s="2040"/>
      <c r="AA168" s="2040"/>
      <c r="AB168" s="2040"/>
      <c r="AC168" s="2040"/>
      <c r="AD168" s="2040"/>
      <c r="AE168" s="2040"/>
      <c r="AF168" s="2542"/>
      <c r="AG168" s="2538"/>
      <c r="AH168" s="2538"/>
      <c r="AI168" s="2542"/>
      <c r="AJ168" s="2538"/>
      <c r="AK168" s="2538"/>
      <c r="AL168" s="1992"/>
      <c r="AM168" s="1827"/>
      <c r="AN168" s="1827"/>
      <c r="AO168" s="1827"/>
      <c r="AP168" s="1827"/>
      <c r="AQ168" s="1827"/>
      <c r="AR168" s="1827"/>
      <c r="AS168" s="1827"/>
      <c r="AT168" s="1827"/>
      <c r="AU168" s="1827"/>
      <c r="AV168" s="1827"/>
      <c r="AW168" s="1827"/>
      <c r="AX168" s="1827"/>
      <c r="AY168" s="1827"/>
      <c r="AZ168" s="1827"/>
      <c r="BA168" s="1827"/>
      <c r="BB168" s="1827"/>
      <c r="BC168" s="1827"/>
      <c r="BD168" s="1827"/>
      <c r="BE168" s="1827"/>
      <c r="BF168" s="1827"/>
      <c r="BG168" s="1639"/>
    </row>
    <row customHeight="1" ht="0.75">
      <c r="A169" s="1170" t="s">
        <v>1261</v>
      </c>
      <c r="B169" s="1170"/>
      <c r="C169" s="1170"/>
      <c r="D169" s="1164"/>
      <c r="E169" s="1174"/>
      <c r="F169" s="2540"/>
      <c r="G169" s="2519"/>
      <c r="H169" s="2544"/>
      <c r="I169" s="2545"/>
      <c r="J169" s="2546"/>
      <c r="K169" s="2546"/>
      <c r="L169" s="2538"/>
      <c r="M169" s="2272"/>
      <c r="N169" s="2547"/>
      <c r="O169" s="2548"/>
      <c r="P169" s="2592"/>
      <c r="Q169" s="2543"/>
      <c r="R169" s="2543"/>
      <c r="S169" s="2543"/>
      <c r="T169" s="2543"/>
      <c r="U169" s="2543"/>
      <c r="V169" s="2543"/>
      <c r="W169" s="2543"/>
      <c r="X169" s="2543"/>
      <c r="Y169" s="2543"/>
      <c r="Z169" s="2041"/>
      <c r="AA169" s="2042"/>
      <c r="AB169" s="2042"/>
      <c r="AC169" s="2043"/>
      <c r="AD169" s="2043"/>
      <c r="AE169" s="2044"/>
      <c r="AF169" s="2542"/>
      <c r="AG169" s="2538"/>
      <c r="AH169" s="2538"/>
      <c r="AI169" s="2542"/>
      <c r="AJ169" s="2538"/>
      <c r="AK169" s="2538"/>
      <c r="AL169" s="1992"/>
      <c r="AM169" s="1827"/>
      <c r="AN169" s="1827"/>
      <c r="AO169" s="1827"/>
      <c r="AP169" s="1827"/>
      <c r="AQ169" s="1827"/>
      <c r="AR169" s="1827"/>
      <c r="AS169" s="1827"/>
      <c r="AT169" s="1827"/>
      <c r="AU169" s="1827"/>
      <c r="AV169" s="1827"/>
      <c r="AW169" s="1827"/>
      <c r="AX169" s="1827"/>
      <c r="AY169" s="1827"/>
      <c r="AZ169" s="1827"/>
      <c r="BA169" s="1827"/>
      <c r="BB169" s="1827"/>
      <c r="BC169" s="1827"/>
      <c r="BD169" s="1827"/>
      <c r="BE169" s="1827"/>
      <c r="BF169" s="1827"/>
      <c r="BG169" s="1639"/>
    </row>
    <row customHeight="1" ht="0.75">
      <c r="A170" s="1170" t="s">
        <v>1261</v>
      </c>
      <c r="B170" s="1170"/>
      <c r="C170" s="1170"/>
      <c r="D170" s="1164"/>
      <c r="E170" s="1174"/>
      <c r="F170" s="2540"/>
      <c r="G170" s="2519"/>
      <c r="H170" s="2544"/>
      <c r="I170" s="2545"/>
      <c r="J170" s="2546"/>
      <c r="K170" s="2546"/>
      <c r="L170" s="2538"/>
      <c r="M170" s="2272"/>
      <c r="N170" s="2547"/>
      <c r="O170" s="2548"/>
      <c r="P170" s="2593"/>
      <c r="Q170" s="2543"/>
      <c r="R170" s="2543"/>
      <c r="S170" s="2543"/>
      <c r="T170" s="2543"/>
      <c r="U170" s="2543"/>
      <c r="V170" s="2543"/>
      <c r="W170" s="2543"/>
      <c r="X170" s="2543"/>
      <c r="Y170" s="2543"/>
      <c r="Z170" s="2045"/>
      <c r="AA170" s="2046"/>
      <c r="AB170" s="2047"/>
      <c r="AC170" s="2048"/>
      <c r="AD170" s="2047"/>
      <c r="AE170" s="2048"/>
      <c r="AF170" s="2542"/>
      <c r="AG170" s="2538"/>
      <c r="AH170" s="2538"/>
      <c r="AI170" s="2542"/>
      <c r="AJ170" s="2538"/>
      <c r="AK170" s="2538"/>
      <c r="AL170" s="1992"/>
      <c r="AM170" s="1827"/>
      <c r="AN170" s="1827"/>
      <c r="AO170" s="1827"/>
      <c r="AP170" s="1827"/>
      <c r="AQ170" s="1827"/>
      <c r="AR170" s="1827"/>
      <c r="AS170" s="1827"/>
      <c r="AT170" s="1827"/>
      <c r="AU170" s="1827"/>
      <c r="AV170" s="1827"/>
      <c r="AW170" s="1827"/>
      <c r="AX170" s="1827"/>
      <c r="AY170" s="1827"/>
      <c r="AZ170" s="1827"/>
      <c r="BA170" s="1827"/>
      <c r="BB170" s="1827"/>
      <c r="BC170" s="1827"/>
      <c r="BD170" s="1827"/>
      <c r="BE170" s="1827"/>
      <c r="BF170" s="1827"/>
      <c r="BG170" s="1639"/>
    </row>
    <row customHeight="1" ht="0.75">
      <c r="A171" s="1170" t="s">
        <v>1261</v>
      </c>
      <c r="B171" s="1170"/>
      <c r="C171" s="1170"/>
      <c r="D171" s="1164"/>
      <c r="E171" s="1174"/>
      <c r="F171" s="2540"/>
      <c r="G171" s="2519"/>
      <c r="H171" s="2544"/>
      <c r="I171" s="2545"/>
      <c r="J171" s="2546"/>
      <c r="K171" s="2546"/>
      <c r="L171" s="2538"/>
      <c r="M171" s="2272"/>
      <c r="N171" s="2547"/>
      <c r="O171" s="2548"/>
      <c r="P171" s="2594"/>
      <c r="Q171" s="2543"/>
      <c r="R171" s="2543"/>
      <c r="S171" s="2543"/>
      <c r="T171" s="2543"/>
      <c r="U171" s="2543"/>
      <c r="V171" s="2543"/>
      <c r="W171" s="2543"/>
      <c r="X171" s="2543"/>
      <c r="Y171" s="2543"/>
      <c r="Z171" s="2041"/>
      <c r="AA171" s="2042"/>
      <c r="AB171" s="2049"/>
      <c r="AC171" s="2043"/>
      <c r="AD171" s="2043"/>
      <c r="AE171" s="2050"/>
      <c r="AF171" s="2542"/>
      <c r="AG171" s="2538"/>
      <c r="AH171" s="2538"/>
      <c r="AI171" s="2542"/>
      <c r="AJ171" s="2538"/>
      <c r="AK171" s="2538"/>
      <c r="AL171" s="1992"/>
      <c r="AM171" s="1827"/>
      <c r="AN171" s="1827"/>
      <c r="AO171" s="1827"/>
      <c r="AP171" s="1827"/>
      <c r="AQ171" s="1827"/>
      <c r="AR171" s="1827"/>
      <c r="AS171" s="1827"/>
      <c r="AT171" s="1827"/>
      <c r="AU171" s="1827"/>
      <c r="AV171" s="1827"/>
      <c r="AW171" s="1827"/>
      <c r="AX171" s="1827"/>
      <c r="AY171" s="1827"/>
      <c r="AZ171" s="1827"/>
      <c r="BA171" s="1827"/>
      <c r="BB171" s="1827"/>
      <c r="BC171" s="1827"/>
      <c r="BD171" s="1827"/>
      <c r="BE171" s="1827"/>
      <c r="BF171" s="1827"/>
      <c r="BG171" s="1639"/>
    </row>
    <row customHeight="1" ht="0.75">
      <c r="A172" s="1170" t="s">
        <v>1261</v>
      </c>
      <c r="B172" s="1170"/>
      <c r="C172" s="1170"/>
      <c r="D172" s="1164"/>
      <c r="E172" s="1174"/>
      <c r="F172" s="2540"/>
      <c r="G172" s="2519"/>
      <c r="H172" s="2544"/>
      <c r="I172" s="2545"/>
      <c r="J172" s="2546"/>
      <c r="K172" s="2546"/>
      <c r="L172" s="2538"/>
      <c r="M172" s="2272"/>
      <c r="N172" s="2042"/>
      <c r="O172" s="2042"/>
      <c r="P172" s="2049"/>
      <c r="Q172" s="2042"/>
      <c r="R172" s="2042"/>
      <c r="S172" s="2042"/>
      <c r="T172" s="2042"/>
      <c r="U172" s="2042"/>
      <c r="V172" s="2042"/>
      <c r="W172" s="2042"/>
      <c r="X172" s="2042"/>
      <c r="Y172" s="2042"/>
      <c r="Z172" s="2042"/>
      <c r="AA172" s="2042"/>
      <c r="AB172" s="2042"/>
      <c r="AC172" s="2042"/>
      <c r="AD172" s="2042"/>
      <c r="AE172" s="2051"/>
      <c r="AF172" s="2542"/>
      <c r="AG172" s="2538"/>
      <c r="AH172" s="2538"/>
      <c r="AI172" s="2542"/>
      <c r="AJ172" s="2538"/>
      <c r="AK172" s="2538"/>
      <c r="AL172" s="1992"/>
      <c r="AM172" s="1827"/>
      <c r="AN172" s="1827"/>
      <c r="AO172" s="1827"/>
      <c r="AP172" s="1827"/>
      <c r="AQ172" s="1827"/>
      <c r="AR172" s="1827"/>
      <c r="AS172" s="1827"/>
      <c r="AT172" s="1827"/>
      <c r="AU172" s="1827"/>
      <c r="AV172" s="1827"/>
      <c r="AW172" s="1827"/>
      <c r="AX172" s="1827"/>
      <c r="AY172" s="1827"/>
      <c r="AZ172" s="1827"/>
      <c r="BA172" s="1827"/>
      <c r="BB172" s="1827"/>
      <c r="BC172" s="1827"/>
      <c r="BD172" s="1827"/>
      <c r="BE172" s="1827"/>
      <c r="BF172" s="1827"/>
      <c r="BG172" s="1639"/>
    </row>
    <row customHeight="1" ht="12">
      <c r="A173" s="1170" t="s">
        <v>1261</v>
      </c>
      <c r="B173" s="1170"/>
      <c r="C173" s="1170"/>
      <c r="D173" s="1164"/>
      <c r="E173" s="1174"/>
      <c r="F173" s="2541"/>
      <c r="G173" s="1194"/>
      <c r="H173" s="1194"/>
      <c r="I173" s="2539" t="s">
        <v>1321</v>
      </c>
      <c r="J173" s="2539"/>
      <c r="K173" s="2539"/>
      <c r="L173" s="1177"/>
      <c r="M173" s="1177"/>
      <c r="N173" s="1178"/>
      <c r="O173" s="1178"/>
      <c r="P173" s="1178"/>
      <c r="Q173" s="1178"/>
      <c r="R173" s="1178"/>
      <c r="S173" s="1178"/>
      <c r="T173" s="1178"/>
      <c r="U173" s="1178"/>
      <c r="V173" s="1178"/>
      <c r="W173" s="1178"/>
      <c r="X173" s="1178"/>
      <c r="Y173" s="1178"/>
      <c r="Z173" s="1178"/>
      <c r="AA173" s="1178"/>
      <c r="AB173" s="1178"/>
      <c r="AC173" s="1178"/>
      <c r="AD173" s="1178"/>
      <c r="AE173" s="1178"/>
      <c r="AF173" s="1178"/>
      <c r="AG173" s="1177"/>
      <c r="AH173" s="1177"/>
      <c r="AI173" s="1178"/>
      <c r="AJ173" s="1177"/>
      <c r="AK173" s="1178"/>
      <c r="AL173" s="1992"/>
      <c r="AM173" s="1827"/>
      <c r="AN173" s="1827"/>
      <c r="AO173" s="1827"/>
      <c r="AP173" s="1827"/>
      <c r="AQ173" s="1827"/>
      <c r="AR173" s="1827"/>
      <c r="AS173" s="1827"/>
      <c r="AT173" s="1827"/>
      <c r="AU173" s="1827"/>
      <c r="AV173" s="1827"/>
      <c r="AW173" s="1827"/>
      <c r="AX173" s="1827"/>
      <c r="AY173" s="1827"/>
      <c r="AZ173" s="1827"/>
      <c r="BA173" s="1827"/>
      <c r="BB173" s="1827"/>
      <c r="BC173" s="1827"/>
      <c r="BD173" s="1827"/>
      <c r="BE173" s="1827"/>
      <c r="BF173" s="1827"/>
      <c r="BG173" s="1639"/>
    </row>
    <row customHeight="1" ht="0.75">
      <c r="A174" s="1170" t="s">
        <v>1261</v>
      </c>
      <c r="B174" s="1170"/>
      <c r="C174" s="1170"/>
      <c r="D174" s="1164"/>
      <c r="E174" s="1174"/>
      <c r="F174" s="2540">
        <v>2039</v>
      </c>
      <c r="G174" s="2519"/>
      <c r="H174" s="2544" t="s">
        <v>394</v>
      </c>
      <c r="I174" s="2545"/>
      <c r="J174" s="2546"/>
      <c r="K174" s="2546"/>
      <c r="L174" s="2538"/>
      <c r="M174" s="2272"/>
      <c r="N174" s="2040"/>
      <c r="O174" s="2039"/>
      <c r="P174" s="2040"/>
      <c r="Q174" s="2040"/>
      <c r="R174" s="2040"/>
      <c r="S174" s="2040"/>
      <c r="T174" s="2040"/>
      <c r="U174" s="2040"/>
      <c r="V174" s="2040"/>
      <c r="W174" s="2040"/>
      <c r="X174" s="2040"/>
      <c r="Y174" s="2040"/>
      <c r="Z174" s="2040"/>
      <c r="AA174" s="2040"/>
      <c r="AB174" s="2040"/>
      <c r="AC174" s="2040"/>
      <c r="AD174" s="2040"/>
      <c r="AE174" s="2040"/>
      <c r="AF174" s="2542"/>
      <c r="AG174" s="2538"/>
      <c r="AH174" s="2538"/>
      <c r="AI174" s="2542"/>
      <c r="AJ174" s="2538"/>
      <c r="AK174" s="2538"/>
      <c r="AL174" s="1992"/>
      <c r="AM174" s="1827"/>
      <c r="AN174" s="1827"/>
      <c r="AO174" s="1827"/>
      <c r="AP174" s="1827"/>
      <c r="AQ174" s="1827"/>
      <c r="AR174" s="1827"/>
      <c r="AS174" s="1827"/>
      <c r="AT174" s="1827"/>
      <c r="AU174" s="1827"/>
      <c r="AV174" s="1827"/>
      <c r="AW174" s="1827"/>
      <c r="AX174" s="1827"/>
      <c r="AY174" s="1827"/>
      <c r="AZ174" s="1827"/>
      <c r="BA174" s="1827"/>
      <c r="BB174" s="1827"/>
      <c r="BC174" s="1827"/>
      <c r="BD174" s="1827"/>
      <c r="BE174" s="1827"/>
      <c r="BF174" s="1827"/>
      <c r="BG174" s="1639"/>
    </row>
    <row customHeight="1" ht="0.75">
      <c r="A175" s="1170" t="s">
        <v>1261</v>
      </c>
      <c r="B175" s="1170"/>
      <c r="C175" s="1170"/>
      <c r="D175" s="1164"/>
      <c r="E175" s="1174"/>
      <c r="F175" s="2540"/>
      <c r="G175" s="2519"/>
      <c r="H175" s="2544"/>
      <c r="I175" s="2545"/>
      <c r="J175" s="2546"/>
      <c r="K175" s="2546"/>
      <c r="L175" s="2538"/>
      <c r="M175" s="2272"/>
      <c r="N175" s="2547"/>
      <c r="O175" s="2548"/>
      <c r="P175" s="2592"/>
      <c r="Q175" s="2543"/>
      <c r="R175" s="2543"/>
      <c r="S175" s="2543"/>
      <c r="T175" s="2543"/>
      <c r="U175" s="2543"/>
      <c r="V175" s="2543"/>
      <c r="W175" s="2543"/>
      <c r="X175" s="2543"/>
      <c r="Y175" s="2543"/>
      <c r="Z175" s="2041"/>
      <c r="AA175" s="2042"/>
      <c r="AB175" s="2042"/>
      <c r="AC175" s="2043"/>
      <c r="AD175" s="2043"/>
      <c r="AE175" s="2044"/>
      <c r="AF175" s="2542"/>
      <c r="AG175" s="2538"/>
      <c r="AH175" s="2538"/>
      <c r="AI175" s="2542"/>
      <c r="AJ175" s="2538"/>
      <c r="AK175" s="2538"/>
      <c r="AL175" s="1992"/>
      <c r="AM175" s="1827"/>
      <c r="AN175" s="1827"/>
      <c r="AO175" s="1827"/>
      <c r="AP175" s="1827"/>
      <c r="AQ175" s="1827"/>
      <c r="AR175" s="1827"/>
      <c r="AS175" s="1827"/>
      <c r="AT175" s="1827"/>
      <c r="AU175" s="1827"/>
      <c r="AV175" s="1827"/>
      <c r="AW175" s="1827"/>
      <c r="AX175" s="1827"/>
      <c r="AY175" s="1827"/>
      <c r="AZ175" s="1827"/>
      <c r="BA175" s="1827"/>
      <c r="BB175" s="1827"/>
      <c r="BC175" s="1827"/>
      <c r="BD175" s="1827"/>
      <c r="BE175" s="1827"/>
      <c r="BF175" s="1827"/>
      <c r="BG175" s="1639"/>
    </row>
    <row customHeight="1" ht="0.75">
      <c r="A176" s="1170" t="s">
        <v>1261</v>
      </c>
      <c r="B176" s="1170"/>
      <c r="C176" s="1170"/>
      <c r="D176" s="1164"/>
      <c r="E176" s="1174"/>
      <c r="F176" s="2540"/>
      <c r="G176" s="2519"/>
      <c r="H176" s="2544"/>
      <c r="I176" s="2545"/>
      <c r="J176" s="2546"/>
      <c r="K176" s="2546"/>
      <c r="L176" s="2538"/>
      <c r="M176" s="2272"/>
      <c r="N176" s="2547"/>
      <c r="O176" s="2548"/>
      <c r="P176" s="2593"/>
      <c r="Q176" s="2543"/>
      <c r="R176" s="2543"/>
      <c r="S176" s="2543"/>
      <c r="T176" s="2543"/>
      <c r="U176" s="2543"/>
      <c r="V176" s="2543"/>
      <c r="W176" s="2543"/>
      <c r="X176" s="2543"/>
      <c r="Y176" s="2543"/>
      <c r="Z176" s="2045"/>
      <c r="AA176" s="2046"/>
      <c r="AB176" s="2047"/>
      <c r="AC176" s="2048"/>
      <c r="AD176" s="2047"/>
      <c r="AE176" s="2048"/>
      <c r="AF176" s="2542"/>
      <c r="AG176" s="2538"/>
      <c r="AH176" s="2538"/>
      <c r="AI176" s="2542"/>
      <c r="AJ176" s="2538"/>
      <c r="AK176" s="2538"/>
      <c r="AL176" s="1992"/>
      <c r="AM176" s="1827"/>
      <c r="AN176" s="1827"/>
      <c r="AO176" s="1827"/>
      <c r="AP176" s="1827"/>
      <c r="AQ176" s="1827"/>
      <c r="AR176" s="1827"/>
      <c r="AS176" s="1827"/>
      <c r="AT176" s="1827"/>
      <c r="AU176" s="1827"/>
      <c r="AV176" s="1827"/>
      <c r="AW176" s="1827"/>
      <c r="AX176" s="1827"/>
      <c r="AY176" s="1827"/>
      <c r="AZ176" s="1827"/>
      <c r="BA176" s="1827"/>
      <c r="BB176" s="1827"/>
      <c r="BC176" s="1827"/>
      <c r="BD176" s="1827"/>
      <c r="BE176" s="1827"/>
      <c r="BF176" s="1827"/>
      <c r="BG176" s="1639"/>
    </row>
    <row customHeight="1" ht="0.75">
      <c r="A177" s="1170" t="s">
        <v>1261</v>
      </c>
      <c r="B177" s="1170"/>
      <c r="C177" s="1170"/>
      <c r="D177" s="1164"/>
      <c r="E177" s="1174"/>
      <c r="F177" s="2540"/>
      <c r="G177" s="2519"/>
      <c r="H177" s="2544"/>
      <c r="I177" s="2545"/>
      <c r="J177" s="2546"/>
      <c r="K177" s="2546"/>
      <c r="L177" s="2538"/>
      <c r="M177" s="2272"/>
      <c r="N177" s="2547"/>
      <c r="O177" s="2548"/>
      <c r="P177" s="2594"/>
      <c r="Q177" s="2543"/>
      <c r="R177" s="2543"/>
      <c r="S177" s="2543"/>
      <c r="T177" s="2543"/>
      <c r="U177" s="2543"/>
      <c r="V177" s="2543"/>
      <c r="W177" s="2543"/>
      <c r="X177" s="2543"/>
      <c r="Y177" s="2543"/>
      <c r="Z177" s="2041"/>
      <c r="AA177" s="2042"/>
      <c r="AB177" s="2049"/>
      <c r="AC177" s="2043"/>
      <c r="AD177" s="2043"/>
      <c r="AE177" s="2050"/>
      <c r="AF177" s="2542"/>
      <c r="AG177" s="2538"/>
      <c r="AH177" s="2538"/>
      <c r="AI177" s="2542"/>
      <c r="AJ177" s="2538"/>
      <c r="AK177" s="2538"/>
      <c r="AL177" s="1992"/>
      <c r="AM177" s="1827"/>
      <c r="AN177" s="1827"/>
      <c r="AO177" s="1827"/>
      <c r="AP177" s="1827"/>
      <c r="AQ177" s="1827"/>
      <c r="AR177" s="1827"/>
      <c r="AS177" s="1827"/>
      <c r="AT177" s="1827"/>
      <c r="AU177" s="1827"/>
      <c r="AV177" s="1827"/>
      <c r="AW177" s="1827"/>
      <c r="AX177" s="1827"/>
      <c r="AY177" s="1827"/>
      <c r="AZ177" s="1827"/>
      <c r="BA177" s="1827"/>
      <c r="BB177" s="1827"/>
      <c r="BC177" s="1827"/>
      <c r="BD177" s="1827"/>
      <c r="BE177" s="1827"/>
      <c r="BF177" s="1827"/>
      <c r="BG177" s="1639"/>
    </row>
    <row customHeight="1" ht="0.75">
      <c r="A178" s="1170" t="s">
        <v>1261</v>
      </c>
      <c r="B178" s="1170"/>
      <c r="C178" s="1170"/>
      <c r="D178" s="1164"/>
      <c r="E178" s="1174"/>
      <c r="F178" s="2540"/>
      <c r="G178" s="2519"/>
      <c r="H178" s="2544"/>
      <c r="I178" s="2545"/>
      <c r="J178" s="2546"/>
      <c r="K178" s="2546"/>
      <c r="L178" s="2538"/>
      <c r="M178" s="2272"/>
      <c r="N178" s="2042"/>
      <c r="O178" s="2042"/>
      <c r="P178" s="2049"/>
      <c r="Q178" s="2042"/>
      <c r="R178" s="2042"/>
      <c r="S178" s="2042"/>
      <c r="T178" s="2042"/>
      <c r="U178" s="2042"/>
      <c r="V178" s="2042"/>
      <c r="W178" s="2042"/>
      <c r="X178" s="2042"/>
      <c r="Y178" s="2042"/>
      <c r="Z178" s="2042"/>
      <c r="AA178" s="2042"/>
      <c r="AB178" s="2042"/>
      <c r="AC178" s="2042"/>
      <c r="AD178" s="2042"/>
      <c r="AE178" s="2051"/>
      <c r="AF178" s="2542"/>
      <c r="AG178" s="2538"/>
      <c r="AH178" s="2538"/>
      <c r="AI178" s="2542"/>
      <c r="AJ178" s="2538"/>
      <c r="AK178" s="2538"/>
      <c r="AL178" s="1992"/>
      <c r="AM178" s="1827"/>
      <c r="AN178" s="1827"/>
      <c r="AO178" s="1827"/>
      <c r="AP178" s="1827"/>
      <c r="AQ178" s="1827"/>
      <c r="AR178" s="1827"/>
      <c r="AS178" s="1827"/>
      <c r="AT178" s="1827"/>
      <c r="AU178" s="1827"/>
      <c r="AV178" s="1827"/>
      <c r="AW178" s="1827"/>
      <c r="AX178" s="1827"/>
      <c r="AY178" s="1827"/>
      <c r="AZ178" s="1827"/>
      <c r="BA178" s="1827"/>
      <c r="BB178" s="1827"/>
      <c r="BC178" s="1827"/>
      <c r="BD178" s="1827"/>
      <c r="BE178" s="1827"/>
      <c r="BF178" s="1827"/>
      <c r="BG178" s="1639"/>
    </row>
    <row customHeight="1" ht="12">
      <c r="A179" s="1170" t="s">
        <v>1261</v>
      </c>
      <c r="B179" s="1170"/>
      <c r="C179" s="1170"/>
      <c r="D179" s="1164"/>
      <c r="E179" s="1174"/>
      <c r="F179" s="2541"/>
      <c r="G179" s="1194"/>
      <c r="H179" s="1194"/>
      <c r="I179" s="2539" t="s">
        <v>1321</v>
      </c>
      <c r="J179" s="2539"/>
      <c r="K179" s="2539"/>
      <c r="L179" s="1177"/>
      <c r="M179" s="1177"/>
      <c r="N179" s="1178"/>
      <c r="O179" s="1178"/>
      <c r="P179" s="1178"/>
      <c r="Q179" s="1178"/>
      <c r="R179" s="1178"/>
      <c r="S179" s="1178"/>
      <c r="T179" s="1178"/>
      <c r="U179" s="1178"/>
      <c r="V179" s="1178"/>
      <c r="W179" s="1178"/>
      <c r="X179" s="1178"/>
      <c r="Y179" s="1178"/>
      <c r="Z179" s="1178"/>
      <c r="AA179" s="1178"/>
      <c r="AB179" s="1178"/>
      <c r="AC179" s="1178"/>
      <c r="AD179" s="1178"/>
      <c r="AE179" s="1178"/>
      <c r="AF179" s="1178"/>
      <c r="AG179" s="1177"/>
      <c r="AH179" s="1177"/>
      <c r="AI179" s="1178"/>
      <c r="AJ179" s="1177"/>
      <c r="AK179" s="1178"/>
      <c r="AL179" s="1992"/>
      <c r="AM179" s="1827"/>
      <c r="AN179" s="1827"/>
      <c r="AO179" s="1827"/>
      <c r="AP179" s="1827"/>
      <c r="AQ179" s="1827"/>
      <c r="AR179" s="1827"/>
      <c r="AS179" s="1827"/>
      <c r="AT179" s="1827"/>
      <c r="AU179" s="1827"/>
      <c r="AV179" s="1827"/>
      <c r="AW179" s="1827"/>
      <c r="AX179" s="1827"/>
      <c r="AY179" s="1827"/>
      <c r="AZ179" s="1827"/>
      <c r="BA179" s="1827"/>
      <c r="BB179" s="1827"/>
      <c r="BC179" s="1827"/>
      <c r="BD179" s="1827"/>
      <c r="BE179" s="1827"/>
      <c r="BF179" s="1827"/>
      <c r="BG179" s="1639"/>
    </row>
    <row customHeight="1" ht="0.75">
      <c r="A180" s="1170" t="s">
        <v>1261</v>
      </c>
      <c r="B180" s="1170"/>
      <c r="C180" s="1170"/>
      <c r="D180" s="1164"/>
      <c r="E180" s="1174"/>
      <c r="F180" s="2540">
        <v>2040</v>
      </c>
      <c r="G180" s="2519"/>
      <c r="H180" s="2544" t="s">
        <v>394</v>
      </c>
      <c r="I180" s="2545"/>
      <c r="J180" s="2546"/>
      <c r="K180" s="2546"/>
      <c r="L180" s="2538"/>
      <c r="M180" s="2272"/>
      <c r="N180" s="2040"/>
      <c r="O180" s="2039"/>
      <c r="P180" s="2040"/>
      <c r="Q180" s="2040"/>
      <c r="R180" s="2040"/>
      <c r="S180" s="2040"/>
      <c r="T180" s="2040"/>
      <c r="U180" s="2040"/>
      <c r="V180" s="2040"/>
      <c r="W180" s="2040"/>
      <c r="X180" s="2040"/>
      <c r="Y180" s="2040"/>
      <c r="Z180" s="2040"/>
      <c r="AA180" s="2040"/>
      <c r="AB180" s="2040"/>
      <c r="AC180" s="2040"/>
      <c r="AD180" s="2040"/>
      <c r="AE180" s="2040"/>
      <c r="AF180" s="2542"/>
      <c r="AG180" s="2538"/>
      <c r="AH180" s="2538"/>
      <c r="AI180" s="2542"/>
      <c r="AJ180" s="2538"/>
      <c r="AK180" s="2538"/>
      <c r="AL180" s="1992"/>
      <c r="AM180" s="1827"/>
      <c r="AN180" s="1827"/>
      <c r="AO180" s="1827"/>
      <c r="AP180" s="1827"/>
      <c r="AQ180" s="1827"/>
      <c r="AR180" s="1827"/>
      <c r="AS180" s="1827"/>
      <c r="AT180" s="1827"/>
      <c r="AU180" s="1827"/>
      <c r="AV180" s="1827"/>
      <c r="AW180" s="1827"/>
      <c r="AX180" s="1827"/>
      <c r="AY180" s="1827"/>
      <c r="AZ180" s="1827"/>
      <c r="BA180" s="1827"/>
      <c r="BB180" s="1827"/>
      <c r="BC180" s="1827"/>
      <c r="BD180" s="1827"/>
      <c r="BE180" s="1827"/>
      <c r="BF180" s="1827"/>
      <c r="BG180" s="1639"/>
    </row>
    <row customHeight="1" ht="0.75">
      <c r="A181" s="1170" t="s">
        <v>1261</v>
      </c>
      <c r="B181" s="1170"/>
      <c r="C181" s="1170"/>
      <c r="D181" s="1164"/>
      <c r="E181" s="1174"/>
      <c r="F181" s="2540"/>
      <c r="G181" s="2519"/>
      <c r="H181" s="2544"/>
      <c r="I181" s="2545"/>
      <c r="J181" s="2546"/>
      <c r="K181" s="2546"/>
      <c r="L181" s="2538"/>
      <c r="M181" s="2272"/>
      <c r="N181" s="2547"/>
      <c r="O181" s="2548"/>
      <c r="P181" s="2592"/>
      <c r="Q181" s="2543"/>
      <c r="R181" s="2543"/>
      <c r="S181" s="2543"/>
      <c r="T181" s="2543"/>
      <c r="U181" s="2543"/>
      <c r="V181" s="2543"/>
      <c r="W181" s="2543"/>
      <c r="X181" s="2543"/>
      <c r="Y181" s="2543"/>
      <c r="Z181" s="2041"/>
      <c r="AA181" s="2042"/>
      <c r="AB181" s="2042"/>
      <c r="AC181" s="2043"/>
      <c r="AD181" s="2043"/>
      <c r="AE181" s="2044"/>
      <c r="AF181" s="2542"/>
      <c r="AG181" s="2538"/>
      <c r="AH181" s="2538"/>
      <c r="AI181" s="2542"/>
      <c r="AJ181" s="2538"/>
      <c r="AK181" s="2538"/>
      <c r="AL181" s="1992"/>
      <c r="AM181" s="1827"/>
      <c r="AN181" s="1827"/>
      <c r="AO181" s="1827"/>
      <c r="AP181" s="1827"/>
      <c r="AQ181" s="1827"/>
      <c r="AR181" s="1827"/>
      <c r="AS181" s="1827"/>
      <c r="AT181" s="1827"/>
      <c r="AU181" s="1827"/>
      <c r="AV181" s="1827"/>
      <c r="AW181" s="1827"/>
      <c r="AX181" s="1827"/>
      <c r="AY181" s="1827"/>
      <c r="AZ181" s="1827"/>
      <c r="BA181" s="1827"/>
      <c r="BB181" s="1827"/>
      <c r="BC181" s="1827"/>
      <c r="BD181" s="1827"/>
      <c r="BE181" s="1827"/>
      <c r="BF181" s="1827"/>
      <c r="BG181" s="1639"/>
    </row>
    <row customHeight="1" ht="0.75">
      <c r="A182" s="1170" t="s">
        <v>1261</v>
      </c>
      <c r="B182" s="1170"/>
      <c r="C182" s="1170"/>
      <c r="D182" s="1164"/>
      <c r="E182" s="1174"/>
      <c r="F182" s="2540"/>
      <c r="G182" s="2519"/>
      <c r="H182" s="2544"/>
      <c r="I182" s="2545"/>
      <c r="J182" s="2546"/>
      <c r="K182" s="2546"/>
      <c r="L182" s="2538"/>
      <c r="M182" s="2272"/>
      <c r="N182" s="2547"/>
      <c r="O182" s="2548"/>
      <c r="P182" s="2593"/>
      <c r="Q182" s="2543"/>
      <c r="R182" s="2543"/>
      <c r="S182" s="2543"/>
      <c r="T182" s="2543"/>
      <c r="U182" s="2543"/>
      <c r="V182" s="2543"/>
      <c r="W182" s="2543"/>
      <c r="X182" s="2543"/>
      <c r="Y182" s="2543"/>
      <c r="Z182" s="2045"/>
      <c r="AA182" s="2046"/>
      <c r="AB182" s="2047"/>
      <c r="AC182" s="2048"/>
      <c r="AD182" s="2047"/>
      <c r="AE182" s="2048"/>
      <c r="AF182" s="2542"/>
      <c r="AG182" s="2538"/>
      <c r="AH182" s="2538"/>
      <c r="AI182" s="2542"/>
      <c r="AJ182" s="2538"/>
      <c r="AK182" s="2538"/>
      <c r="AL182" s="1992"/>
      <c r="AM182" s="1827"/>
      <c r="AN182" s="1827"/>
      <c r="AO182" s="1827"/>
      <c r="AP182" s="1827"/>
      <c r="AQ182" s="1827"/>
      <c r="AR182" s="1827"/>
      <c r="AS182" s="1827"/>
      <c r="AT182" s="1827"/>
      <c r="AU182" s="1827"/>
      <c r="AV182" s="1827"/>
      <c r="AW182" s="1827"/>
      <c r="AX182" s="1827"/>
      <c r="AY182" s="1827"/>
      <c r="AZ182" s="1827"/>
      <c r="BA182" s="1827"/>
      <c r="BB182" s="1827"/>
      <c r="BC182" s="1827"/>
      <c r="BD182" s="1827"/>
      <c r="BE182" s="1827"/>
      <c r="BF182" s="1827"/>
      <c r="BG182" s="1639"/>
    </row>
    <row customHeight="1" ht="0.75">
      <c r="A183" s="1170" t="s">
        <v>1261</v>
      </c>
      <c r="B183" s="1170"/>
      <c r="C183" s="1170"/>
      <c r="D183" s="1164"/>
      <c r="E183" s="1174"/>
      <c r="F183" s="2540"/>
      <c r="G183" s="2519"/>
      <c r="H183" s="2544"/>
      <c r="I183" s="2545"/>
      <c r="J183" s="2546"/>
      <c r="K183" s="2546"/>
      <c r="L183" s="2538"/>
      <c r="M183" s="2272"/>
      <c r="N183" s="2547"/>
      <c r="O183" s="2548"/>
      <c r="P183" s="2594"/>
      <c r="Q183" s="2543"/>
      <c r="R183" s="2543"/>
      <c r="S183" s="2543"/>
      <c r="T183" s="2543"/>
      <c r="U183" s="2543"/>
      <c r="V183" s="2543"/>
      <c r="W183" s="2543"/>
      <c r="X183" s="2543"/>
      <c r="Y183" s="2543"/>
      <c r="Z183" s="2041"/>
      <c r="AA183" s="2042"/>
      <c r="AB183" s="2049"/>
      <c r="AC183" s="2043"/>
      <c r="AD183" s="2043"/>
      <c r="AE183" s="2050"/>
      <c r="AF183" s="2542"/>
      <c r="AG183" s="2538"/>
      <c r="AH183" s="2538"/>
      <c r="AI183" s="2542"/>
      <c r="AJ183" s="2538"/>
      <c r="AK183" s="2538"/>
      <c r="AL183" s="1992"/>
      <c r="AM183" s="1827"/>
      <c r="AN183" s="1827"/>
      <c r="AO183" s="1827"/>
      <c r="AP183" s="1827"/>
      <c r="AQ183" s="1827"/>
      <c r="AR183" s="1827"/>
      <c r="AS183" s="1827"/>
      <c r="AT183" s="1827"/>
      <c r="AU183" s="1827"/>
      <c r="AV183" s="1827"/>
      <c r="AW183" s="1827"/>
      <c r="AX183" s="1827"/>
      <c r="AY183" s="1827"/>
      <c r="AZ183" s="1827"/>
      <c r="BA183" s="1827"/>
      <c r="BB183" s="1827"/>
      <c r="BC183" s="1827"/>
      <c r="BD183" s="1827"/>
      <c r="BE183" s="1827"/>
      <c r="BF183" s="1827"/>
      <c r="BG183" s="1639"/>
    </row>
    <row customHeight="1" ht="0.75">
      <c r="A184" s="1170" t="s">
        <v>1261</v>
      </c>
      <c r="B184" s="1170"/>
      <c r="C184" s="1170"/>
      <c r="D184" s="1164"/>
      <c r="E184" s="1174"/>
      <c r="F184" s="2540"/>
      <c r="G184" s="2519"/>
      <c r="H184" s="2544"/>
      <c r="I184" s="2545"/>
      <c r="J184" s="2546"/>
      <c r="K184" s="2546"/>
      <c r="L184" s="2538"/>
      <c r="M184" s="2272"/>
      <c r="N184" s="2042"/>
      <c r="O184" s="2042"/>
      <c r="P184" s="2049"/>
      <c r="Q184" s="2042"/>
      <c r="R184" s="2042"/>
      <c r="S184" s="2042"/>
      <c r="T184" s="2042"/>
      <c r="U184" s="2042"/>
      <c r="V184" s="2042"/>
      <c r="W184" s="2042"/>
      <c r="X184" s="2042"/>
      <c r="Y184" s="2042"/>
      <c r="Z184" s="2042"/>
      <c r="AA184" s="2042"/>
      <c r="AB184" s="2042"/>
      <c r="AC184" s="2042"/>
      <c r="AD184" s="2042"/>
      <c r="AE184" s="2051"/>
      <c r="AF184" s="2542"/>
      <c r="AG184" s="2538"/>
      <c r="AH184" s="2538"/>
      <c r="AI184" s="2542"/>
      <c r="AJ184" s="2538"/>
      <c r="AK184" s="2538"/>
      <c r="AL184" s="1992"/>
      <c r="AM184" s="1827"/>
      <c r="AN184" s="1827"/>
      <c r="AO184" s="1827"/>
      <c r="AP184" s="1827"/>
      <c r="AQ184" s="1827"/>
      <c r="AR184" s="1827"/>
      <c r="AS184" s="1827"/>
      <c r="AT184" s="1827"/>
      <c r="AU184" s="1827"/>
      <c r="AV184" s="1827"/>
      <c r="AW184" s="1827"/>
      <c r="AX184" s="1827"/>
      <c r="AY184" s="1827"/>
      <c r="AZ184" s="1827"/>
      <c r="BA184" s="1827"/>
      <c r="BB184" s="1827"/>
      <c r="BC184" s="1827"/>
      <c r="BD184" s="1827"/>
      <c r="BE184" s="1827"/>
      <c r="BF184" s="1827"/>
      <c r="BG184" s="1639"/>
    </row>
    <row customHeight="1" ht="12">
      <c r="A185" s="1170" t="s">
        <v>1261</v>
      </c>
      <c r="B185" s="1170"/>
      <c r="C185" s="1170"/>
      <c r="D185" s="1164"/>
      <c r="E185" s="1174"/>
      <c r="F185" s="2541"/>
      <c r="G185" s="1194"/>
      <c r="H185" s="1194"/>
      <c r="I185" s="2539" t="s">
        <v>1321</v>
      </c>
      <c r="J185" s="2539"/>
      <c r="K185" s="2539"/>
      <c r="L185" s="1177"/>
      <c r="M185" s="1177"/>
      <c r="N185" s="1178"/>
      <c r="O185" s="1178"/>
      <c r="P185" s="1178"/>
      <c r="Q185" s="1178"/>
      <c r="R185" s="1178"/>
      <c r="S185" s="1178"/>
      <c r="T185" s="1178"/>
      <c r="U185" s="1178"/>
      <c r="V185" s="1178"/>
      <c r="W185" s="1178"/>
      <c r="X185" s="1178"/>
      <c r="Y185" s="1178"/>
      <c r="Z185" s="1178"/>
      <c r="AA185" s="1178"/>
      <c r="AB185" s="1178"/>
      <c r="AC185" s="1178"/>
      <c r="AD185" s="1178"/>
      <c r="AE185" s="1178"/>
      <c r="AF185" s="1178"/>
      <c r="AG185" s="1177"/>
      <c r="AH185" s="1177"/>
      <c r="AI185" s="1178"/>
      <c r="AJ185" s="1177"/>
      <c r="AK185" s="1178"/>
      <c r="AL185" s="1992"/>
      <c r="AM185" s="1827"/>
      <c r="AN185" s="1827"/>
      <c r="AO185" s="1827"/>
      <c r="AP185" s="1827"/>
      <c r="AQ185" s="1827"/>
      <c r="AR185" s="1827"/>
      <c r="AS185" s="1827"/>
      <c r="AT185" s="1827"/>
      <c r="AU185" s="1827"/>
      <c r="AV185" s="1827"/>
      <c r="AW185" s="1827"/>
      <c r="AX185" s="1827"/>
      <c r="AY185" s="1827"/>
      <c r="AZ185" s="1827"/>
      <c r="BA185" s="1827"/>
      <c r="BB185" s="1827"/>
      <c r="BC185" s="1827"/>
      <c r="BD185" s="1827"/>
      <c r="BE185" s="1827"/>
      <c r="BF185" s="1827"/>
      <c r="BG185" s="1639"/>
    </row>
    <row customHeight="1" ht="0.75">
      <c r="A186" s="1170" t="s">
        <v>1261</v>
      </c>
      <c r="B186" s="1170"/>
      <c r="C186" s="1170"/>
      <c r="D186" s="1164"/>
      <c r="E186" s="1174"/>
      <c r="F186" s="2540">
        <v>2041</v>
      </c>
      <c r="G186" s="2519"/>
      <c r="H186" s="2544" t="s">
        <v>394</v>
      </c>
      <c r="I186" s="2545"/>
      <c r="J186" s="2546"/>
      <c r="K186" s="2546"/>
      <c r="L186" s="2538"/>
      <c r="M186" s="2272"/>
      <c r="N186" s="2040"/>
      <c r="O186" s="2039"/>
      <c r="P186" s="2040"/>
      <c r="Q186" s="2040"/>
      <c r="R186" s="2040"/>
      <c r="S186" s="2040"/>
      <c r="T186" s="2040"/>
      <c r="U186" s="2040"/>
      <c r="V186" s="2040"/>
      <c r="W186" s="2040"/>
      <c r="X186" s="2040"/>
      <c r="Y186" s="2040"/>
      <c r="Z186" s="2040"/>
      <c r="AA186" s="2040"/>
      <c r="AB186" s="2040"/>
      <c r="AC186" s="2040"/>
      <c r="AD186" s="2040"/>
      <c r="AE186" s="2040"/>
      <c r="AF186" s="2542"/>
      <c r="AG186" s="2538"/>
      <c r="AH186" s="2538"/>
      <c r="AI186" s="2542"/>
      <c r="AJ186" s="2538"/>
      <c r="AK186" s="2538"/>
      <c r="AL186" s="1992"/>
      <c r="AM186" s="1827"/>
      <c r="AN186" s="1827"/>
      <c r="AO186" s="1827"/>
      <c r="AP186" s="1827"/>
      <c r="AQ186" s="1827"/>
      <c r="AR186" s="1827"/>
      <c r="AS186" s="1827"/>
      <c r="AT186" s="1827"/>
      <c r="AU186" s="1827"/>
      <c r="AV186" s="1827"/>
      <c r="AW186" s="1827"/>
      <c r="AX186" s="1827"/>
      <c r="AY186" s="1827"/>
      <c r="AZ186" s="1827"/>
      <c r="BA186" s="1827"/>
      <c r="BB186" s="1827"/>
      <c r="BC186" s="1827"/>
      <c r="BD186" s="1827"/>
      <c r="BE186" s="1827"/>
      <c r="BF186" s="1827"/>
      <c r="BG186" s="1639"/>
    </row>
    <row customHeight="1" ht="0.75">
      <c r="A187" s="1170" t="s">
        <v>1261</v>
      </c>
      <c r="B187" s="1170"/>
      <c r="C187" s="1170"/>
      <c r="D187" s="1164"/>
      <c r="E187" s="1174"/>
      <c r="F187" s="2540"/>
      <c r="G187" s="2519"/>
      <c r="H187" s="2544"/>
      <c r="I187" s="2545"/>
      <c r="J187" s="2546"/>
      <c r="K187" s="2546"/>
      <c r="L187" s="2538"/>
      <c r="M187" s="2272"/>
      <c r="N187" s="2547"/>
      <c r="O187" s="2548"/>
      <c r="P187" s="2592"/>
      <c r="Q187" s="2543"/>
      <c r="R187" s="2543"/>
      <c r="S187" s="2543"/>
      <c r="T187" s="2543"/>
      <c r="U187" s="2543"/>
      <c r="V187" s="2543"/>
      <c r="W187" s="2543"/>
      <c r="X187" s="2543"/>
      <c r="Y187" s="2543"/>
      <c r="Z187" s="2041"/>
      <c r="AA187" s="2042"/>
      <c r="AB187" s="2042"/>
      <c r="AC187" s="2043"/>
      <c r="AD187" s="2043"/>
      <c r="AE187" s="2044"/>
      <c r="AF187" s="2542"/>
      <c r="AG187" s="2538"/>
      <c r="AH187" s="2538"/>
      <c r="AI187" s="2542"/>
      <c r="AJ187" s="2538"/>
      <c r="AK187" s="2538"/>
      <c r="AL187" s="1992"/>
      <c r="AM187" s="1827"/>
      <c r="AN187" s="1827"/>
      <c r="AO187" s="1827"/>
      <c r="AP187" s="1827"/>
      <c r="AQ187" s="1827"/>
      <c r="AR187" s="1827"/>
      <c r="AS187" s="1827"/>
      <c r="AT187" s="1827"/>
      <c r="AU187" s="1827"/>
      <c r="AV187" s="1827"/>
      <c r="AW187" s="1827"/>
      <c r="AX187" s="1827"/>
      <c r="AY187" s="1827"/>
      <c r="AZ187" s="1827"/>
      <c r="BA187" s="1827"/>
      <c r="BB187" s="1827"/>
      <c r="BC187" s="1827"/>
      <c r="BD187" s="1827"/>
      <c r="BE187" s="1827"/>
      <c r="BF187" s="1827"/>
      <c r="BG187" s="1639"/>
    </row>
    <row customHeight="1" ht="0.75">
      <c r="A188" s="1170" t="s">
        <v>1261</v>
      </c>
      <c r="B188" s="1170"/>
      <c r="C188" s="1170"/>
      <c r="D188" s="1164"/>
      <c r="E188" s="1174"/>
      <c r="F188" s="2540"/>
      <c r="G188" s="2519"/>
      <c r="H188" s="2544"/>
      <c r="I188" s="2545"/>
      <c r="J188" s="2546"/>
      <c r="K188" s="2546"/>
      <c r="L188" s="2538"/>
      <c r="M188" s="2272"/>
      <c r="N188" s="2547"/>
      <c r="O188" s="2548"/>
      <c r="P188" s="2593"/>
      <c r="Q188" s="2543"/>
      <c r="R188" s="2543"/>
      <c r="S188" s="2543"/>
      <c r="T188" s="2543"/>
      <c r="U188" s="2543"/>
      <c r="V188" s="2543"/>
      <c r="W188" s="2543"/>
      <c r="X188" s="2543"/>
      <c r="Y188" s="2543"/>
      <c r="Z188" s="2045"/>
      <c r="AA188" s="2046"/>
      <c r="AB188" s="2047"/>
      <c r="AC188" s="2048"/>
      <c r="AD188" s="2047"/>
      <c r="AE188" s="2048"/>
      <c r="AF188" s="2542"/>
      <c r="AG188" s="2538"/>
      <c r="AH188" s="2538"/>
      <c r="AI188" s="2542"/>
      <c r="AJ188" s="2538"/>
      <c r="AK188" s="2538"/>
      <c r="AL188" s="1992"/>
      <c r="AM188" s="1827"/>
      <c r="AN188" s="1827"/>
      <c r="AO188" s="1827"/>
      <c r="AP188" s="1827"/>
      <c r="AQ188" s="1827"/>
      <c r="AR188" s="1827"/>
      <c r="AS188" s="1827"/>
      <c r="AT188" s="1827"/>
      <c r="AU188" s="1827"/>
      <c r="AV188" s="1827"/>
      <c r="AW188" s="1827"/>
      <c r="AX188" s="1827"/>
      <c r="AY188" s="1827"/>
      <c r="AZ188" s="1827"/>
      <c r="BA188" s="1827"/>
      <c r="BB188" s="1827"/>
      <c r="BC188" s="1827"/>
      <c r="BD188" s="1827"/>
      <c r="BE188" s="1827"/>
      <c r="BF188" s="1827"/>
      <c r="BG188" s="1639"/>
    </row>
    <row customHeight="1" ht="0.75">
      <c r="A189" s="1170" t="s">
        <v>1261</v>
      </c>
      <c r="B189" s="1170"/>
      <c r="C189" s="1170"/>
      <c r="D189" s="1164"/>
      <c r="E189" s="1174"/>
      <c r="F189" s="2540"/>
      <c r="G189" s="2519"/>
      <c r="H189" s="2544"/>
      <c r="I189" s="2545"/>
      <c r="J189" s="2546"/>
      <c r="K189" s="2546"/>
      <c r="L189" s="2538"/>
      <c r="M189" s="2272"/>
      <c r="N189" s="2547"/>
      <c r="O189" s="2548"/>
      <c r="P189" s="2594"/>
      <c r="Q189" s="2543"/>
      <c r="R189" s="2543"/>
      <c r="S189" s="2543"/>
      <c r="T189" s="2543"/>
      <c r="U189" s="2543"/>
      <c r="V189" s="2543"/>
      <c r="W189" s="2543"/>
      <c r="X189" s="2543"/>
      <c r="Y189" s="2543"/>
      <c r="Z189" s="2041"/>
      <c r="AA189" s="2042"/>
      <c r="AB189" s="2049"/>
      <c r="AC189" s="2043"/>
      <c r="AD189" s="2043"/>
      <c r="AE189" s="2050"/>
      <c r="AF189" s="2542"/>
      <c r="AG189" s="2538"/>
      <c r="AH189" s="2538"/>
      <c r="AI189" s="2542"/>
      <c r="AJ189" s="2538"/>
      <c r="AK189" s="2538"/>
      <c r="AL189" s="1992"/>
      <c r="AM189" s="1827"/>
      <c r="AN189" s="1827"/>
      <c r="AO189" s="1827"/>
      <c r="AP189" s="1827"/>
      <c r="AQ189" s="1827"/>
      <c r="AR189" s="1827"/>
      <c r="AS189" s="1827"/>
      <c r="AT189" s="1827"/>
      <c r="AU189" s="1827"/>
      <c r="AV189" s="1827"/>
      <c r="AW189" s="1827"/>
      <c r="AX189" s="1827"/>
      <c r="AY189" s="1827"/>
      <c r="AZ189" s="1827"/>
      <c r="BA189" s="1827"/>
      <c r="BB189" s="1827"/>
      <c r="BC189" s="1827"/>
      <c r="BD189" s="1827"/>
      <c r="BE189" s="1827"/>
      <c r="BF189" s="1827"/>
      <c r="BG189" s="1639"/>
    </row>
    <row customHeight="1" ht="0.75">
      <c r="A190" s="1170" t="s">
        <v>1261</v>
      </c>
      <c r="B190" s="1170"/>
      <c r="C190" s="1170"/>
      <c r="D190" s="1164"/>
      <c r="E190" s="1174"/>
      <c r="F190" s="2540"/>
      <c r="G190" s="2519"/>
      <c r="H190" s="2544"/>
      <c r="I190" s="2545"/>
      <c r="J190" s="2546"/>
      <c r="K190" s="2546"/>
      <c r="L190" s="2538"/>
      <c r="M190" s="2272"/>
      <c r="N190" s="2042"/>
      <c r="O190" s="2042"/>
      <c r="P190" s="2049"/>
      <c r="Q190" s="2042"/>
      <c r="R190" s="2042"/>
      <c r="S190" s="2042"/>
      <c r="T190" s="2042"/>
      <c r="U190" s="2042"/>
      <c r="V190" s="2042"/>
      <c r="W190" s="2042"/>
      <c r="X190" s="2042"/>
      <c r="Y190" s="2042"/>
      <c r="Z190" s="2042"/>
      <c r="AA190" s="2042"/>
      <c r="AB190" s="2042"/>
      <c r="AC190" s="2042"/>
      <c r="AD190" s="2042"/>
      <c r="AE190" s="2051"/>
      <c r="AF190" s="2542"/>
      <c r="AG190" s="2538"/>
      <c r="AH190" s="2538"/>
      <c r="AI190" s="2542"/>
      <c r="AJ190" s="2538"/>
      <c r="AK190" s="2538"/>
      <c r="AL190" s="1992"/>
      <c r="AM190" s="1827"/>
      <c r="AN190" s="1827"/>
      <c r="AO190" s="1827"/>
      <c r="AP190" s="1827"/>
      <c r="AQ190" s="1827"/>
      <c r="AR190" s="1827"/>
      <c r="AS190" s="1827"/>
      <c r="AT190" s="1827"/>
      <c r="AU190" s="1827"/>
      <c r="AV190" s="1827"/>
      <c r="AW190" s="1827"/>
      <c r="AX190" s="1827"/>
      <c r="AY190" s="1827"/>
      <c r="AZ190" s="1827"/>
      <c r="BA190" s="1827"/>
      <c r="BB190" s="1827"/>
      <c r="BC190" s="1827"/>
      <c r="BD190" s="1827"/>
      <c r="BE190" s="1827"/>
      <c r="BF190" s="1827"/>
      <c r="BG190" s="1639"/>
    </row>
    <row customHeight="1" ht="12">
      <c r="A191" s="1170" t="s">
        <v>1261</v>
      </c>
      <c r="B191" s="1170"/>
      <c r="C191" s="1170"/>
      <c r="D191" s="1164"/>
      <c r="E191" s="1174"/>
      <c r="F191" s="2541"/>
      <c r="G191" s="1194"/>
      <c r="H191" s="1194"/>
      <c r="I191" s="2539" t="s">
        <v>1321</v>
      </c>
      <c r="J191" s="2539"/>
      <c r="K191" s="2539"/>
      <c r="L191" s="1177"/>
      <c r="M191" s="1177"/>
      <c r="N191" s="1178"/>
      <c r="O191" s="1178"/>
      <c r="P191" s="1178"/>
      <c r="Q191" s="1178"/>
      <c r="R191" s="1178"/>
      <c r="S191" s="1178"/>
      <c r="T191" s="1178"/>
      <c r="U191" s="1178"/>
      <c r="V191" s="1178"/>
      <c r="W191" s="1178"/>
      <c r="X191" s="1178"/>
      <c r="Y191" s="1178"/>
      <c r="Z191" s="1178"/>
      <c r="AA191" s="1178"/>
      <c r="AB191" s="1178"/>
      <c r="AC191" s="1178"/>
      <c r="AD191" s="1178"/>
      <c r="AE191" s="1178"/>
      <c r="AF191" s="1178"/>
      <c r="AG191" s="1177"/>
      <c r="AH191" s="1177"/>
      <c r="AI191" s="1178"/>
      <c r="AJ191" s="1177"/>
      <c r="AK191" s="1178"/>
      <c r="AL191" s="1992"/>
      <c r="AM191" s="1827"/>
      <c r="AN191" s="1827"/>
      <c r="AO191" s="1827"/>
      <c r="AP191" s="1827"/>
      <c r="AQ191" s="1827"/>
      <c r="AR191" s="1827"/>
      <c r="AS191" s="1827"/>
      <c r="AT191" s="1827"/>
      <c r="AU191" s="1827"/>
      <c r="AV191" s="1827"/>
      <c r="AW191" s="1827"/>
      <c r="AX191" s="1827"/>
      <c r="AY191" s="1827"/>
      <c r="AZ191" s="1827"/>
      <c r="BA191" s="1827"/>
      <c r="BB191" s="1827"/>
      <c r="BC191" s="1827"/>
      <c r="BD191" s="1827"/>
      <c r="BE191" s="1827"/>
      <c r="BF191" s="1827"/>
      <c r="BG191" s="1639"/>
    </row>
    <row customHeight="1" ht="0.75">
      <c r="A192" s="1170" t="s">
        <v>1261</v>
      </c>
      <c r="B192" s="1170"/>
      <c r="C192" s="1170"/>
      <c r="D192" s="1164"/>
      <c r="E192" s="1174"/>
      <c r="F192" s="2540">
        <v>2042</v>
      </c>
      <c r="G192" s="2519"/>
      <c r="H192" s="2544" t="s">
        <v>394</v>
      </c>
      <c r="I192" s="2545"/>
      <c r="J192" s="2546"/>
      <c r="K192" s="2546"/>
      <c r="L192" s="2538"/>
      <c r="M192" s="2272"/>
      <c r="N192" s="2040"/>
      <c r="O192" s="2039"/>
      <c r="P192" s="2040"/>
      <c r="Q192" s="2040"/>
      <c r="R192" s="2040"/>
      <c r="S192" s="2040"/>
      <c r="T192" s="2040"/>
      <c r="U192" s="2040"/>
      <c r="V192" s="2040"/>
      <c r="W192" s="2040"/>
      <c r="X192" s="2040"/>
      <c r="Y192" s="2040"/>
      <c r="Z192" s="2040"/>
      <c r="AA192" s="2040"/>
      <c r="AB192" s="2040"/>
      <c r="AC192" s="2040"/>
      <c r="AD192" s="2040"/>
      <c r="AE192" s="2040"/>
      <c r="AF192" s="2542"/>
      <c r="AG192" s="2538"/>
      <c r="AH192" s="2538"/>
      <c r="AI192" s="2542"/>
      <c r="AJ192" s="2538"/>
      <c r="AK192" s="2538"/>
      <c r="AL192" s="1992"/>
      <c r="AM192" s="1827"/>
      <c r="AN192" s="1827"/>
      <c r="AO192" s="1827"/>
      <c r="AP192" s="1827"/>
      <c r="AQ192" s="1827"/>
      <c r="AR192" s="1827"/>
      <c r="AS192" s="1827"/>
      <c r="AT192" s="1827"/>
      <c r="AU192" s="1827"/>
      <c r="AV192" s="1827"/>
      <c r="AW192" s="1827"/>
      <c r="AX192" s="1827"/>
      <c r="AY192" s="1827"/>
      <c r="AZ192" s="1827"/>
      <c r="BA192" s="1827"/>
      <c r="BB192" s="1827"/>
      <c r="BC192" s="1827"/>
      <c r="BD192" s="1827"/>
      <c r="BE192" s="1827"/>
      <c r="BF192" s="1827"/>
      <c r="BG192" s="1639"/>
    </row>
    <row customHeight="1" ht="0.75">
      <c r="A193" s="1170" t="s">
        <v>1261</v>
      </c>
      <c r="B193" s="1170"/>
      <c r="C193" s="1170"/>
      <c r="D193" s="1164"/>
      <c r="E193" s="1174"/>
      <c r="F193" s="2540"/>
      <c r="G193" s="2519"/>
      <c r="H193" s="2544"/>
      <c r="I193" s="2545"/>
      <c r="J193" s="2546"/>
      <c r="K193" s="2546"/>
      <c r="L193" s="2538"/>
      <c r="M193" s="2272"/>
      <c r="N193" s="2547"/>
      <c r="O193" s="2548"/>
      <c r="P193" s="2592"/>
      <c r="Q193" s="2543"/>
      <c r="R193" s="2543"/>
      <c r="S193" s="2543"/>
      <c r="T193" s="2543"/>
      <c r="U193" s="2543"/>
      <c r="V193" s="2543"/>
      <c r="W193" s="2543"/>
      <c r="X193" s="2543"/>
      <c r="Y193" s="2543"/>
      <c r="Z193" s="2041"/>
      <c r="AA193" s="2042"/>
      <c r="AB193" s="2042"/>
      <c r="AC193" s="2043"/>
      <c r="AD193" s="2043"/>
      <c r="AE193" s="2044"/>
      <c r="AF193" s="2542"/>
      <c r="AG193" s="2538"/>
      <c r="AH193" s="2538"/>
      <c r="AI193" s="2542"/>
      <c r="AJ193" s="2538"/>
      <c r="AK193" s="2538"/>
      <c r="AL193" s="1992"/>
      <c r="AM193" s="1827"/>
      <c r="AN193" s="1827"/>
      <c r="AO193" s="1827"/>
      <c r="AP193" s="1827"/>
      <c r="AQ193" s="1827"/>
      <c r="AR193" s="1827"/>
      <c r="AS193" s="1827"/>
      <c r="AT193" s="1827"/>
      <c r="AU193" s="1827"/>
      <c r="AV193" s="1827"/>
      <c r="AW193" s="1827"/>
      <c r="AX193" s="1827"/>
      <c r="AY193" s="1827"/>
      <c r="AZ193" s="1827"/>
      <c r="BA193" s="1827"/>
      <c r="BB193" s="1827"/>
      <c r="BC193" s="1827"/>
      <c r="BD193" s="1827"/>
      <c r="BE193" s="1827"/>
      <c r="BF193" s="1827"/>
      <c r="BG193" s="1639"/>
    </row>
    <row customHeight="1" ht="0.75">
      <c r="A194" s="1170" t="s">
        <v>1261</v>
      </c>
      <c r="B194" s="1170"/>
      <c r="C194" s="1170"/>
      <c r="D194" s="1164"/>
      <c r="E194" s="1174"/>
      <c r="F194" s="2540"/>
      <c r="G194" s="2519"/>
      <c r="H194" s="2544"/>
      <c r="I194" s="2545"/>
      <c r="J194" s="2546"/>
      <c r="K194" s="2546"/>
      <c r="L194" s="2538"/>
      <c r="M194" s="2272"/>
      <c r="N194" s="2547"/>
      <c r="O194" s="2548"/>
      <c r="P194" s="2593"/>
      <c r="Q194" s="2543"/>
      <c r="R194" s="2543"/>
      <c r="S194" s="2543"/>
      <c r="T194" s="2543"/>
      <c r="U194" s="2543"/>
      <c r="V194" s="2543"/>
      <c r="W194" s="2543"/>
      <c r="X194" s="2543"/>
      <c r="Y194" s="2543"/>
      <c r="Z194" s="2045"/>
      <c r="AA194" s="2046"/>
      <c r="AB194" s="2047"/>
      <c r="AC194" s="2048"/>
      <c r="AD194" s="2047"/>
      <c r="AE194" s="2048"/>
      <c r="AF194" s="2542"/>
      <c r="AG194" s="2538"/>
      <c r="AH194" s="2538"/>
      <c r="AI194" s="2542"/>
      <c r="AJ194" s="2538"/>
      <c r="AK194" s="2538"/>
      <c r="AL194" s="1992"/>
      <c r="AM194" s="1827"/>
      <c r="AN194" s="1827"/>
      <c r="AO194" s="1827"/>
      <c r="AP194" s="1827"/>
      <c r="AQ194" s="1827"/>
      <c r="AR194" s="1827"/>
      <c r="AS194" s="1827"/>
      <c r="AT194" s="1827"/>
      <c r="AU194" s="1827"/>
      <c r="AV194" s="1827"/>
      <c r="AW194" s="1827"/>
      <c r="AX194" s="1827"/>
      <c r="AY194" s="1827"/>
      <c r="AZ194" s="1827"/>
      <c r="BA194" s="1827"/>
      <c r="BB194" s="1827"/>
      <c r="BC194" s="1827"/>
      <c r="BD194" s="1827"/>
      <c r="BE194" s="1827"/>
      <c r="BF194" s="1827"/>
      <c r="BG194" s="1639"/>
    </row>
    <row customHeight="1" ht="0.75">
      <c r="A195" s="1170" t="s">
        <v>1261</v>
      </c>
      <c r="B195" s="1170"/>
      <c r="C195" s="1170"/>
      <c r="D195" s="1164"/>
      <c r="E195" s="1174"/>
      <c r="F195" s="2540"/>
      <c r="G195" s="2519"/>
      <c r="H195" s="2544"/>
      <c r="I195" s="2545"/>
      <c r="J195" s="2546"/>
      <c r="K195" s="2546"/>
      <c r="L195" s="2538"/>
      <c r="M195" s="2272"/>
      <c r="N195" s="2547"/>
      <c r="O195" s="2548"/>
      <c r="P195" s="2594"/>
      <c r="Q195" s="2543"/>
      <c r="R195" s="2543"/>
      <c r="S195" s="2543"/>
      <c r="T195" s="2543"/>
      <c r="U195" s="2543"/>
      <c r="V195" s="2543"/>
      <c r="W195" s="2543"/>
      <c r="X195" s="2543"/>
      <c r="Y195" s="2543"/>
      <c r="Z195" s="2041"/>
      <c r="AA195" s="2042"/>
      <c r="AB195" s="2049"/>
      <c r="AC195" s="2043"/>
      <c r="AD195" s="2043"/>
      <c r="AE195" s="2050"/>
      <c r="AF195" s="2542"/>
      <c r="AG195" s="2538"/>
      <c r="AH195" s="2538"/>
      <c r="AI195" s="2542"/>
      <c r="AJ195" s="2538"/>
      <c r="AK195" s="2538"/>
      <c r="AL195" s="1992"/>
      <c r="AM195" s="1827"/>
      <c r="AN195" s="1827"/>
      <c r="AO195" s="1827"/>
      <c r="AP195" s="1827"/>
      <c r="AQ195" s="1827"/>
      <c r="AR195" s="1827"/>
      <c r="AS195" s="1827"/>
      <c r="AT195" s="1827"/>
      <c r="AU195" s="1827"/>
      <c r="AV195" s="1827"/>
      <c r="AW195" s="1827"/>
      <c r="AX195" s="1827"/>
      <c r="AY195" s="1827"/>
      <c r="AZ195" s="1827"/>
      <c r="BA195" s="1827"/>
      <c r="BB195" s="1827"/>
      <c r="BC195" s="1827"/>
      <c r="BD195" s="1827"/>
      <c r="BE195" s="1827"/>
      <c r="BF195" s="1827"/>
      <c r="BG195" s="1639"/>
    </row>
    <row customHeight="1" ht="0.75">
      <c r="A196" s="1170" t="s">
        <v>1261</v>
      </c>
      <c r="B196" s="1170"/>
      <c r="C196" s="1170"/>
      <c r="D196" s="1164"/>
      <c r="E196" s="1174"/>
      <c r="F196" s="2540"/>
      <c r="G196" s="2519"/>
      <c r="H196" s="2544"/>
      <c r="I196" s="2545"/>
      <c r="J196" s="2546"/>
      <c r="K196" s="2546"/>
      <c r="L196" s="2538"/>
      <c r="M196" s="2272"/>
      <c r="N196" s="2042"/>
      <c r="O196" s="2042"/>
      <c r="P196" s="2049"/>
      <c r="Q196" s="2042"/>
      <c r="R196" s="2042"/>
      <c r="S196" s="2042"/>
      <c r="T196" s="2042"/>
      <c r="U196" s="2042"/>
      <c r="V196" s="2042"/>
      <c r="W196" s="2042"/>
      <c r="X196" s="2042"/>
      <c r="Y196" s="2042"/>
      <c r="Z196" s="2042"/>
      <c r="AA196" s="2042"/>
      <c r="AB196" s="2042"/>
      <c r="AC196" s="2042"/>
      <c r="AD196" s="2042"/>
      <c r="AE196" s="2051"/>
      <c r="AF196" s="2542"/>
      <c r="AG196" s="2538"/>
      <c r="AH196" s="2538"/>
      <c r="AI196" s="2542"/>
      <c r="AJ196" s="2538"/>
      <c r="AK196" s="2538"/>
      <c r="AL196" s="1992"/>
      <c r="AM196" s="1827"/>
      <c r="AN196" s="1827"/>
      <c r="AO196" s="1827"/>
      <c r="AP196" s="1827"/>
      <c r="AQ196" s="1827"/>
      <c r="AR196" s="1827"/>
      <c r="AS196" s="1827"/>
      <c r="AT196" s="1827"/>
      <c r="AU196" s="1827"/>
      <c r="AV196" s="1827"/>
      <c r="AW196" s="1827"/>
      <c r="AX196" s="1827"/>
      <c r="AY196" s="1827"/>
      <c r="AZ196" s="1827"/>
      <c r="BA196" s="1827"/>
      <c r="BB196" s="1827"/>
      <c r="BC196" s="1827"/>
      <c r="BD196" s="1827"/>
      <c r="BE196" s="1827"/>
      <c r="BF196" s="1827"/>
      <c r="BG196" s="1639"/>
    </row>
    <row customHeight="1" ht="12">
      <c r="A197" s="1170" t="s">
        <v>1261</v>
      </c>
      <c r="B197" s="1170"/>
      <c r="C197" s="1170"/>
      <c r="D197" s="1164"/>
      <c r="E197" s="1174"/>
      <c r="F197" s="2541"/>
      <c r="G197" s="1194"/>
      <c r="H197" s="1194"/>
      <c r="I197" s="2539" t="s">
        <v>1321</v>
      </c>
      <c r="J197" s="2539"/>
      <c r="K197" s="2539"/>
      <c r="L197" s="1177"/>
      <c r="M197" s="1177"/>
      <c r="N197" s="1178"/>
      <c r="O197" s="1178"/>
      <c r="P197" s="1178"/>
      <c r="Q197" s="1178"/>
      <c r="R197" s="1178"/>
      <c r="S197" s="1178"/>
      <c r="T197" s="1178"/>
      <c r="U197" s="1178"/>
      <c r="V197" s="1178"/>
      <c r="W197" s="1178"/>
      <c r="X197" s="1178"/>
      <c r="Y197" s="1178"/>
      <c r="Z197" s="1178"/>
      <c r="AA197" s="1178"/>
      <c r="AB197" s="1178"/>
      <c r="AC197" s="1178"/>
      <c r="AD197" s="1178"/>
      <c r="AE197" s="1178"/>
      <c r="AF197" s="1178"/>
      <c r="AG197" s="1177"/>
      <c r="AH197" s="1177"/>
      <c r="AI197" s="1178"/>
      <c r="AJ197" s="1177"/>
      <c r="AK197" s="1178"/>
      <c r="AL197" s="1992"/>
      <c r="AM197" s="1827"/>
      <c r="AN197" s="1827"/>
      <c r="AO197" s="1827"/>
      <c r="AP197" s="1827"/>
      <c r="AQ197" s="1827"/>
      <c r="AR197" s="1827"/>
      <c r="AS197" s="1827"/>
      <c r="AT197" s="1827"/>
      <c r="AU197" s="1827"/>
      <c r="AV197" s="1827"/>
      <c r="AW197" s="1827"/>
      <c r="AX197" s="1827"/>
      <c r="AY197" s="1827"/>
      <c r="AZ197" s="1827"/>
      <c r="BA197" s="1827"/>
      <c r="BB197" s="1827"/>
      <c r="BC197" s="1827"/>
      <c r="BD197" s="1827"/>
      <c r="BE197" s="1827"/>
      <c r="BF197" s="1827"/>
      <c r="BG197" s="1639"/>
    </row>
    <row customHeight="1" ht="0.75">
      <c r="A198" s="1170" t="s">
        <v>1261</v>
      </c>
      <c r="B198" s="1170"/>
      <c r="C198" s="1170"/>
      <c r="D198" s="1164"/>
      <c r="E198" s="1174"/>
      <c r="F198" s="2540">
        <v>2043</v>
      </c>
      <c r="G198" s="2519"/>
      <c r="H198" s="2544" t="s">
        <v>394</v>
      </c>
      <c r="I198" s="2545"/>
      <c r="J198" s="2546"/>
      <c r="K198" s="2546"/>
      <c r="L198" s="2538"/>
      <c r="M198" s="2272"/>
      <c r="N198" s="2040"/>
      <c r="O198" s="2039"/>
      <c r="P198" s="2040"/>
      <c r="Q198" s="2040"/>
      <c r="R198" s="2040"/>
      <c r="S198" s="2040"/>
      <c r="T198" s="2040"/>
      <c r="U198" s="2040"/>
      <c r="V198" s="2040"/>
      <c r="W198" s="2040"/>
      <c r="X198" s="2040"/>
      <c r="Y198" s="2040"/>
      <c r="Z198" s="2040"/>
      <c r="AA198" s="2040"/>
      <c r="AB198" s="2040"/>
      <c r="AC198" s="2040"/>
      <c r="AD198" s="2040"/>
      <c r="AE198" s="2040"/>
      <c r="AF198" s="2542"/>
      <c r="AG198" s="2538"/>
      <c r="AH198" s="2538"/>
      <c r="AI198" s="2542"/>
      <c r="AJ198" s="2538"/>
      <c r="AK198" s="2538"/>
      <c r="AL198" s="1992"/>
      <c r="AM198" s="1827"/>
      <c r="AN198" s="1827"/>
      <c r="AO198" s="1827"/>
      <c r="AP198" s="1827"/>
      <c r="AQ198" s="1827"/>
      <c r="AR198" s="1827"/>
      <c r="AS198" s="1827"/>
      <c r="AT198" s="1827"/>
      <c r="AU198" s="1827"/>
      <c r="AV198" s="1827"/>
      <c r="AW198" s="1827"/>
      <c r="AX198" s="1827"/>
      <c r="AY198" s="1827"/>
      <c r="AZ198" s="1827"/>
      <c r="BA198" s="1827"/>
      <c r="BB198" s="1827"/>
      <c r="BC198" s="1827"/>
      <c r="BD198" s="1827"/>
      <c r="BE198" s="1827"/>
      <c r="BF198" s="1827"/>
      <c r="BG198" s="1639"/>
    </row>
    <row customHeight="1" ht="0.75">
      <c r="A199" s="1170" t="s">
        <v>1261</v>
      </c>
      <c r="B199" s="1170"/>
      <c r="C199" s="1170"/>
      <c r="D199" s="1164"/>
      <c r="E199" s="1174"/>
      <c r="F199" s="2540"/>
      <c r="G199" s="2519"/>
      <c r="H199" s="2544"/>
      <c r="I199" s="2545"/>
      <c r="J199" s="2546"/>
      <c r="K199" s="2546"/>
      <c r="L199" s="2538"/>
      <c r="M199" s="2272"/>
      <c r="N199" s="2547"/>
      <c r="O199" s="2548"/>
      <c r="P199" s="2592"/>
      <c r="Q199" s="2543"/>
      <c r="R199" s="2543"/>
      <c r="S199" s="2543"/>
      <c r="T199" s="2543"/>
      <c r="U199" s="2543"/>
      <c r="V199" s="2543"/>
      <c r="W199" s="2543"/>
      <c r="X199" s="2543"/>
      <c r="Y199" s="2543"/>
      <c r="Z199" s="2041"/>
      <c r="AA199" s="2042"/>
      <c r="AB199" s="2042"/>
      <c r="AC199" s="2043"/>
      <c r="AD199" s="2043"/>
      <c r="AE199" s="2044"/>
      <c r="AF199" s="2542"/>
      <c r="AG199" s="2538"/>
      <c r="AH199" s="2538"/>
      <c r="AI199" s="2542"/>
      <c r="AJ199" s="2538"/>
      <c r="AK199" s="2538"/>
      <c r="AL199" s="1992"/>
      <c r="AM199" s="1827"/>
      <c r="AN199" s="1827"/>
      <c r="AO199" s="1827"/>
      <c r="AP199" s="1827"/>
      <c r="AQ199" s="1827"/>
      <c r="AR199" s="1827"/>
      <c r="AS199" s="1827"/>
      <c r="AT199" s="1827"/>
      <c r="AU199" s="1827"/>
      <c r="AV199" s="1827"/>
      <c r="AW199" s="1827"/>
      <c r="AX199" s="1827"/>
      <c r="AY199" s="1827"/>
      <c r="AZ199" s="1827"/>
      <c r="BA199" s="1827"/>
      <c r="BB199" s="1827"/>
      <c r="BC199" s="1827"/>
      <c r="BD199" s="1827"/>
      <c r="BE199" s="1827"/>
      <c r="BF199" s="1827"/>
      <c r="BG199" s="1639"/>
    </row>
    <row customHeight="1" ht="0.75">
      <c r="A200" s="1170" t="s">
        <v>1261</v>
      </c>
      <c r="B200" s="1170"/>
      <c r="C200" s="1170"/>
      <c r="D200" s="1164"/>
      <c r="E200" s="1174"/>
      <c r="F200" s="2540"/>
      <c r="G200" s="2519"/>
      <c r="H200" s="2544"/>
      <c r="I200" s="2545"/>
      <c r="J200" s="2546"/>
      <c r="K200" s="2546"/>
      <c r="L200" s="2538"/>
      <c r="M200" s="2272"/>
      <c r="N200" s="2547"/>
      <c r="O200" s="2548"/>
      <c r="P200" s="2593"/>
      <c r="Q200" s="2543"/>
      <c r="R200" s="2543"/>
      <c r="S200" s="2543"/>
      <c r="T200" s="2543"/>
      <c r="U200" s="2543"/>
      <c r="V200" s="2543"/>
      <c r="W200" s="2543"/>
      <c r="X200" s="2543"/>
      <c r="Y200" s="2543"/>
      <c r="Z200" s="2045"/>
      <c r="AA200" s="2046"/>
      <c r="AB200" s="2047"/>
      <c r="AC200" s="2048"/>
      <c r="AD200" s="2047"/>
      <c r="AE200" s="2048"/>
      <c r="AF200" s="2542"/>
      <c r="AG200" s="2538"/>
      <c r="AH200" s="2538"/>
      <c r="AI200" s="2542"/>
      <c r="AJ200" s="2538"/>
      <c r="AK200" s="2538"/>
      <c r="AL200" s="1992"/>
      <c r="AM200" s="1827"/>
      <c r="AN200" s="1827"/>
      <c r="AO200" s="1827"/>
      <c r="AP200" s="1827"/>
      <c r="AQ200" s="1827"/>
      <c r="AR200" s="1827"/>
      <c r="AS200" s="1827"/>
      <c r="AT200" s="1827"/>
      <c r="AU200" s="1827"/>
      <c r="AV200" s="1827"/>
      <c r="AW200" s="1827"/>
      <c r="AX200" s="1827"/>
      <c r="AY200" s="1827"/>
      <c r="AZ200" s="1827"/>
      <c r="BA200" s="1827"/>
      <c r="BB200" s="1827"/>
      <c r="BC200" s="1827"/>
      <c r="BD200" s="1827"/>
      <c r="BE200" s="1827"/>
      <c r="BF200" s="1827"/>
      <c r="BG200" s="1639"/>
    </row>
    <row customHeight="1" ht="0.75">
      <c r="A201" s="1170" t="s">
        <v>1261</v>
      </c>
      <c r="B201" s="1170"/>
      <c r="C201" s="1170"/>
      <c r="D201" s="1164"/>
      <c r="E201" s="1174"/>
      <c r="F201" s="2540"/>
      <c r="G201" s="2519"/>
      <c r="H201" s="2544"/>
      <c r="I201" s="2545"/>
      <c r="J201" s="2546"/>
      <c r="K201" s="2546"/>
      <c r="L201" s="2538"/>
      <c r="M201" s="2272"/>
      <c r="N201" s="2547"/>
      <c r="O201" s="2548"/>
      <c r="P201" s="2594"/>
      <c r="Q201" s="2543"/>
      <c r="R201" s="2543"/>
      <c r="S201" s="2543"/>
      <c r="T201" s="2543"/>
      <c r="U201" s="2543"/>
      <c r="V201" s="2543"/>
      <c r="W201" s="2543"/>
      <c r="X201" s="2543"/>
      <c r="Y201" s="2543"/>
      <c r="Z201" s="2041"/>
      <c r="AA201" s="2042"/>
      <c r="AB201" s="2049"/>
      <c r="AC201" s="2043"/>
      <c r="AD201" s="2043"/>
      <c r="AE201" s="2050"/>
      <c r="AF201" s="2542"/>
      <c r="AG201" s="2538"/>
      <c r="AH201" s="2538"/>
      <c r="AI201" s="2542"/>
      <c r="AJ201" s="2538"/>
      <c r="AK201" s="2538"/>
      <c r="AL201" s="1992"/>
      <c r="AM201" s="1827"/>
      <c r="AN201" s="1827"/>
      <c r="AO201" s="1827"/>
      <c r="AP201" s="1827"/>
      <c r="AQ201" s="1827"/>
      <c r="AR201" s="1827"/>
      <c r="AS201" s="1827"/>
      <c r="AT201" s="1827"/>
      <c r="AU201" s="1827"/>
      <c r="AV201" s="1827"/>
      <c r="AW201" s="1827"/>
      <c r="AX201" s="1827"/>
      <c r="AY201" s="1827"/>
      <c r="AZ201" s="1827"/>
      <c r="BA201" s="1827"/>
      <c r="BB201" s="1827"/>
      <c r="BC201" s="1827"/>
      <c r="BD201" s="1827"/>
      <c r="BE201" s="1827"/>
      <c r="BF201" s="1827"/>
      <c r="BG201" s="1639"/>
    </row>
    <row customHeight="1" ht="0.75">
      <c r="A202" s="1170" t="s">
        <v>1261</v>
      </c>
      <c r="B202" s="1170"/>
      <c r="C202" s="1170"/>
      <c r="D202" s="1164"/>
      <c r="E202" s="1174"/>
      <c r="F202" s="2540"/>
      <c r="G202" s="2519"/>
      <c r="H202" s="2544"/>
      <c r="I202" s="2545"/>
      <c r="J202" s="2546"/>
      <c r="K202" s="2546"/>
      <c r="L202" s="2538"/>
      <c r="M202" s="2272"/>
      <c r="N202" s="2042"/>
      <c r="O202" s="2042"/>
      <c r="P202" s="2049"/>
      <c r="Q202" s="2042"/>
      <c r="R202" s="2042"/>
      <c r="S202" s="2042"/>
      <c r="T202" s="2042"/>
      <c r="U202" s="2042"/>
      <c r="V202" s="2042"/>
      <c r="W202" s="2042"/>
      <c r="X202" s="2042"/>
      <c r="Y202" s="2042"/>
      <c r="Z202" s="2042"/>
      <c r="AA202" s="2042"/>
      <c r="AB202" s="2042"/>
      <c r="AC202" s="2042"/>
      <c r="AD202" s="2042"/>
      <c r="AE202" s="2051"/>
      <c r="AF202" s="2542"/>
      <c r="AG202" s="2538"/>
      <c r="AH202" s="2538"/>
      <c r="AI202" s="2542"/>
      <c r="AJ202" s="2538"/>
      <c r="AK202" s="2538"/>
      <c r="AL202" s="1992"/>
      <c r="AM202" s="1827"/>
      <c r="AN202" s="1827"/>
      <c r="AO202" s="1827"/>
      <c r="AP202" s="1827"/>
      <c r="AQ202" s="1827"/>
      <c r="AR202" s="1827"/>
      <c r="AS202" s="1827"/>
      <c r="AT202" s="1827"/>
      <c r="AU202" s="1827"/>
      <c r="AV202" s="1827"/>
      <c r="AW202" s="1827"/>
      <c r="AX202" s="1827"/>
      <c r="AY202" s="1827"/>
      <c r="AZ202" s="1827"/>
      <c r="BA202" s="1827"/>
      <c r="BB202" s="1827"/>
      <c r="BC202" s="1827"/>
      <c r="BD202" s="1827"/>
      <c r="BE202" s="1827"/>
      <c r="BF202" s="1827"/>
      <c r="BG202" s="1639"/>
    </row>
    <row customHeight="1" ht="12">
      <c r="A203" s="1170" t="s">
        <v>1261</v>
      </c>
      <c r="B203" s="1170"/>
      <c r="C203" s="1170"/>
      <c r="D203" s="1164"/>
      <c r="E203" s="1174"/>
      <c r="F203" s="2541"/>
      <c r="G203" s="1194"/>
      <c r="H203" s="1194"/>
      <c r="I203" s="2539" t="s">
        <v>1321</v>
      </c>
      <c r="J203" s="2539"/>
      <c r="K203" s="2539"/>
      <c r="L203" s="1177"/>
      <c r="M203" s="1177"/>
      <c r="N203" s="1178"/>
      <c r="O203" s="1178"/>
      <c r="P203" s="1178"/>
      <c r="Q203" s="1178"/>
      <c r="R203" s="1178"/>
      <c r="S203" s="1178"/>
      <c r="T203" s="1178"/>
      <c r="U203" s="1178"/>
      <c r="V203" s="1178"/>
      <c r="W203" s="1178"/>
      <c r="X203" s="1178"/>
      <c r="Y203" s="1178"/>
      <c r="Z203" s="1178"/>
      <c r="AA203" s="1178"/>
      <c r="AB203" s="1178"/>
      <c r="AC203" s="1178"/>
      <c r="AD203" s="1178"/>
      <c r="AE203" s="1178"/>
      <c r="AF203" s="1178"/>
      <c r="AG203" s="1177"/>
      <c r="AH203" s="1177"/>
      <c r="AI203" s="1178"/>
      <c r="AJ203" s="1177"/>
      <c r="AK203" s="1178"/>
      <c r="AL203" s="1992"/>
      <c r="AM203" s="1827"/>
      <c r="AN203" s="1827"/>
      <c r="AO203" s="1827"/>
      <c r="AP203" s="1827"/>
      <c r="AQ203" s="1827"/>
      <c r="AR203" s="1827"/>
      <c r="AS203" s="1827"/>
      <c r="AT203" s="1827"/>
      <c r="AU203" s="1827"/>
      <c r="AV203" s="1827"/>
      <c r="AW203" s="1827"/>
      <c r="AX203" s="1827"/>
      <c r="AY203" s="1827"/>
      <c r="AZ203" s="1827"/>
      <c r="BA203" s="1827"/>
      <c r="BB203" s="1827"/>
      <c r="BC203" s="1827"/>
      <c r="BD203" s="1827"/>
      <c r="BE203" s="1827"/>
      <c r="BF203" s="1827"/>
      <c r="BG203" s="1639"/>
    </row>
    <row customHeight="1" ht="0.75">
      <c r="A204" s="1170" t="s">
        <v>1261</v>
      </c>
      <c r="B204" s="1170"/>
      <c r="C204" s="1170"/>
      <c r="D204" s="1164"/>
      <c r="E204" s="1174"/>
      <c r="F204" s="2540">
        <v>2044</v>
      </c>
      <c r="G204" s="2519"/>
      <c r="H204" s="2544" t="s">
        <v>394</v>
      </c>
      <c r="I204" s="2545"/>
      <c r="J204" s="2546"/>
      <c r="K204" s="2546"/>
      <c r="L204" s="2538"/>
      <c r="M204" s="2272"/>
      <c r="N204" s="2040"/>
      <c r="O204" s="2039"/>
      <c r="P204" s="2040"/>
      <c r="Q204" s="2040"/>
      <c r="R204" s="2040"/>
      <c r="S204" s="2040"/>
      <c r="T204" s="2040"/>
      <c r="U204" s="2040"/>
      <c r="V204" s="2040"/>
      <c r="W204" s="2040"/>
      <c r="X204" s="2040"/>
      <c r="Y204" s="2040"/>
      <c r="Z204" s="2040"/>
      <c r="AA204" s="2040"/>
      <c r="AB204" s="2040"/>
      <c r="AC204" s="2040"/>
      <c r="AD204" s="2040"/>
      <c r="AE204" s="2040"/>
      <c r="AF204" s="2542"/>
      <c r="AG204" s="2538"/>
      <c r="AH204" s="2538"/>
      <c r="AI204" s="2542"/>
      <c r="AJ204" s="2538"/>
      <c r="AK204" s="2538"/>
      <c r="AL204" s="1992"/>
      <c r="AM204" s="1827"/>
      <c r="AN204" s="1827"/>
      <c r="AO204" s="1827"/>
      <c r="AP204" s="1827"/>
      <c r="AQ204" s="1827"/>
      <c r="AR204" s="1827"/>
      <c r="AS204" s="1827"/>
      <c r="AT204" s="1827"/>
      <c r="AU204" s="1827"/>
      <c r="AV204" s="1827"/>
      <c r="AW204" s="1827"/>
      <c r="AX204" s="1827"/>
      <c r="AY204" s="1827"/>
      <c r="AZ204" s="1827"/>
      <c r="BA204" s="1827"/>
      <c r="BB204" s="1827"/>
      <c r="BC204" s="1827"/>
      <c r="BD204" s="1827"/>
      <c r="BE204" s="1827"/>
      <c r="BF204" s="1827"/>
      <c r="BG204" s="1639"/>
    </row>
    <row customHeight="1" ht="0.75">
      <c r="A205" s="1170" t="s">
        <v>1261</v>
      </c>
      <c r="B205" s="1170"/>
      <c r="C205" s="1170"/>
      <c r="D205" s="1164"/>
      <c r="E205" s="1174"/>
      <c r="F205" s="2540"/>
      <c r="G205" s="2519"/>
      <c r="H205" s="2544"/>
      <c r="I205" s="2545"/>
      <c r="J205" s="2546"/>
      <c r="K205" s="2546"/>
      <c r="L205" s="2538"/>
      <c r="M205" s="2272"/>
      <c r="N205" s="2547"/>
      <c r="O205" s="2548"/>
      <c r="P205" s="2592"/>
      <c r="Q205" s="2543"/>
      <c r="R205" s="2543"/>
      <c r="S205" s="2543"/>
      <c r="T205" s="2543"/>
      <c r="U205" s="2543"/>
      <c r="V205" s="2543"/>
      <c r="W205" s="2543"/>
      <c r="X205" s="2543"/>
      <c r="Y205" s="2543"/>
      <c r="Z205" s="2041"/>
      <c r="AA205" s="2042"/>
      <c r="AB205" s="2042"/>
      <c r="AC205" s="2043"/>
      <c r="AD205" s="2043"/>
      <c r="AE205" s="2044"/>
      <c r="AF205" s="2542"/>
      <c r="AG205" s="2538"/>
      <c r="AH205" s="2538"/>
      <c r="AI205" s="2542"/>
      <c r="AJ205" s="2538"/>
      <c r="AK205" s="2538"/>
      <c r="AL205" s="1992"/>
      <c r="AM205" s="1827"/>
      <c r="AN205" s="1827"/>
      <c r="AO205" s="1827"/>
      <c r="AP205" s="1827"/>
      <c r="AQ205" s="1827"/>
      <c r="AR205" s="1827"/>
      <c r="AS205" s="1827"/>
      <c r="AT205" s="1827"/>
      <c r="AU205" s="1827"/>
      <c r="AV205" s="1827"/>
      <c r="AW205" s="1827"/>
      <c r="AX205" s="1827"/>
      <c r="AY205" s="1827"/>
      <c r="AZ205" s="1827"/>
      <c r="BA205" s="1827"/>
      <c r="BB205" s="1827"/>
      <c r="BC205" s="1827"/>
      <c r="BD205" s="1827"/>
      <c r="BE205" s="1827"/>
      <c r="BF205" s="1827"/>
      <c r="BG205" s="1639"/>
    </row>
    <row customHeight="1" ht="0.75">
      <c r="A206" s="1170" t="s">
        <v>1261</v>
      </c>
      <c r="B206" s="1170"/>
      <c r="C206" s="1170"/>
      <c r="D206" s="1164"/>
      <c r="E206" s="1174"/>
      <c r="F206" s="2540"/>
      <c r="G206" s="2519"/>
      <c r="H206" s="2544"/>
      <c r="I206" s="2545"/>
      <c r="J206" s="2546"/>
      <c r="K206" s="2546"/>
      <c r="L206" s="2538"/>
      <c r="M206" s="2272"/>
      <c r="N206" s="2547"/>
      <c r="O206" s="2548"/>
      <c r="P206" s="2593"/>
      <c r="Q206" s="2543"/>
      <c r="R206" s="2543"/>
      <c r="S206" s="2543"/>
      <c r="T206" s="2543"/>
      <c r="U206" s="2543"/>
      <c r="V206" s="2543"/>
      <c r="W206" s="2543"/>
      <c r="X206" s="2543"/>
      <c r="Y206" s="2543"/>
      <c r="Z206" s="2045"/>
      <c r="AA206" s="2046"/>
      <c r="AB206" s="2047"/>
      <c r="AC206" s="2048"/>
      <c r="AD206" s="2047"/>
      <c r="AE206" s="2048"/>
      <c r="AF206" s="2542"/>
      <c r="AG206" s="2538"/>
      <c r="AH206" s="2538"/>
      <c r="AI206" s="2542"/>
      <c r="AJ206" s="2538"/>
      <c r="AK206" s="2538"/>
      <c r="AL206" s="1992"/>
      <c r="AM206" s="1827"/>
      <c r="AN206" s="1827"/>
      <c r="AO206" s="1827"/>
      <c r="AP206" s="1827"/>
      <c r="AQ206" s="1827"/>
      <c r="AR206" s="1827"/>
      <c r="AS206" s="1827"/>
      <c r="AT206" s="1827"/>
      <c r="AU206" s="1827"/>
      <c r="AV206" s="1827"/>
      <c r="AW206" s="1827"/>
      <c r="AX206" s="1827"/>
      <c r="AY206" s="1827"/>
      <c r="AZ206" s="1827"/>
      <c r="BA206" s="1827"/>
      <c r="BB206" s="1827"/>
      <c r="BC206" s="1827"/>
      <c r="BD206" s="1827"/>
      <c r="BE206" s="1827"/>
      <c r="BF206" s="1827"/>
      <c r="BG206" s="1639"/>
    </row>
    <row customHeight="1" ht="0.75">
      <c r="A207" s="1170" t="s">
        <v>1261</v>
      </c>
      <c r="B207" s="1170"/>
      <c r="C207" s="1170"/>
      <c r="D207" s="1164"/>
      <c r="E207" s="1174"/>
      <c r="F207" s="2540"/>
      <c r="G207" s="2519"/>
      <c r="H207" s="2544"/>
      <c r="I207" s="2545"/>
      <c r="J207" s="2546"/>
      <c r="K207" s="2546"/>
      <c r="L207" s="2538"/>
      <c r="M207" s="2272"/>
      <c r="N207" s="2547"/>
      <c r="O207" s="2548"/>
      <c r="P207" s="2594"/>
      <c r="Q207" s="2543"/>
      <c r="R207" s="2543"/>
      <c r="S207" s="2543"/>
      <c r="T207" s="2543"/>
      <c r="U207" s="2543"/>
      <c r="V207" s="2543"/>
      <c r="W207" s="2543"/>
      <c r="X207" s="2543"/>
      <c r="Y207" s="2543"/>
      <c r="Z207" s="2041"/>
      <c r="AA207" s="2042"/>
      <c r="AB207" s="2049"/>
      <c r="AC207" s="2043"/>
      <c r="AD207" s="2043"/>
      <c r="AE207" s="2050"/>
      <c r="AF207" s="2542"/>
      <c r="AG207" s="2538"/>
      <c r="AH207" s="2538"/>
      <c r="AI207" s="2542"/>
      <c r="AJ207" s="2538"/>
      <c r="AK207" s="2538"/>
      <c r="AL207" s="1992"/>
      <c r="AM207" s="1827"/>
      <c r="AN207" s="1827"/>
      <c r="AO207" s="1827"/>
      <c r="AP207" s="1827"/>
      <c r="AQ207" s="1827"/>
      <c r="AR207" s="1827"/>
      <c r="AS207" s="1827"/>
      <c r="AT207" s="1827"/>
      <c r="AU207" s="1827"/>
      <c r="AV207" s="1827"/>
      <c r="AW207" s="1827"/>
      <c r="AX207" s="1827"/>
      <c r="AY207" s="1827"/>
      <c r="AZ207" s="1827"/>
      <c r="BA207" s="1827"/>
      <c r="BB207" s="1827"/>
      <c r="BC207" s="1827"/>
      <c r="BD207" s="1827"/>
      <c r="BE207" s="1827"/>
      <c r="BF207" s="1827"/>
      <c r="BG207" s="1639"/>
    </row>
    <row customHeight="1" ht="0.75">
      <c r="A208" s="1170" t="s">
        <v>1261</v>
      </c>
      <c r="B208" s="1170"/>
      <c r="C208" s="1170"/>
      <c r="D208" s="1164"/>
      <c r="E208" s="1174"/>
      <c r="F208" s="2540"/>
      <c r="G208" s="2519"/>
      <c r="H208" s="2544"/>
      <c r="I208" s="2545"/>
      <c r="J208" s="2546"/>
      <c r="K208" s="2546"/>
      <c r="L208" s="2538"/>
      <c r="M208" s="2272"/>
      <c r="N208" s="2042"/>
      <c r="O208" s="2042"/>
      <c r="P208" s="2049"/>
      <c r="Q208" s="2042"/>
      <c r="R208" s="2042"/>
      <c r="S208" s="2042"/>
      <c r="T208" s="2042"/>
      <c r="U208" s="2042"/>
      <c r="V208" s="2042"/>
      <c r="W208" s="2042"/>
      <c r="X208" s="2042"/>
      <c r="Y208" s="2042"/>
      <c r="Z208" s="2042"/>
      <c r="AA208" s="2042"/>
      <c r="AB208" s="2042"/>
      <c r="AC208" s="2042"/>
      <c r="AD208" s="2042"/>
      <c r="AE208" s="2051"/>
      <c r="AF208" s="2542"/>
      <c r="AG208" s="2538"/>
      <c r="AH208" s="2538"/>
      <c r="AI208" s="2542"/>
      <c r="AJ208" s="2538"/>
      <c r="AK208" s="2538"/>
      <c r="AL208" s="1992"/>
      <c r="AM208" s="1827"/>
      <c r="AN208" s="1827"/>
      <c r="AO208" s="1827"/>
      <c r="AP208" s="1827"/>
      <c r="AQ208" s="1827"/>
      <c r="AR208" s="1827"/>
      <c r="AS208" s="1827"/>
      <c r="AT208" s="1827"/>
      <c r="AU208" s="1827"/>
      <c r="AV208" s="1827"/>
      <c r="AW208" s="1827"/>
      <c r="AX208" s="1827"/>
      <c r="AY208" s="1827"/>
      <c r="AZ208" s="1827"/>
      <c r="BA208" s="1827"/>
      <c r="BB208" s="1827"/>
      <c r="BC208" s="1827"/>
      <c r="BD208" s="1827"/>
      <c r="BE208" s="1827"/>
      <c r="BF208" s="1827"/>
      <c r="BG208" s="1639"/>
    </row>
    <row customHeight="1" ht="12">
      <c r="A209" s="1170" t="s">
        <v>1261</v>
      </c>
      <c r="B209" s="1170"/>
      <c r="C209" s="1170"/>
      <c r="D209" s="1164"/>
      <c r="E209" s="1174"/>
      <c r="F209" s="2541"/>
      <c r="G209" s="1194"/>
      <c r="H209" s="1194"/>
      <c r="I209" s="2539" t="s">
        <v>1321</v>
      </c>
      <c r="J209" s="2539"/>
      <c r="K209" s="2539"/>
      <c r="L209" s="1177"/>
      <c r="M209" s="1177"/>
      <c r="N209" s="1178"/>
      <c r="O209" s="1178"/>
      <c r="P209" s="1178"/>
      <c r="Q209" s="1178"/>
      <c r="R209" s="1178"/>
      <c r="S209" s="1178"/>
      <c r="T209" s="1178"/>
      <c r="U209" s="1178"/>
      <c r="V209" s="1178"/>
      <c r="W209" s="1178"/>
      <c r="X209" s="1178"/>
      <c r="Y209" s="1178"/>
      <c r="Z209" s="1178"/>
      <c r="AA209" s="1178"/>
      <c r="AB209" s="1178"/>
      <c r="AC209" s="1178"/>
      <c r="AD209" s="1178"/>
      <c r="AE209" s="1178"/>
      <c r="AF209" s="1178"/>
      <c r="AG209" s="1177"/>
      <c r="AH209" s="1177"/>
      <c r="AI209" s="1178"/>
      <c r="AJ209" s="1177"/>
      <c r="AK209" s="1178"/>
      <c r="AL209" s="1992"/>
      <c r="AM209" s="1827"/>
      <c r="AN209" s="1827"/>
      <c r="AO209" s="1827"/>
      <c r="AP209" s="1827"/>
      <c r="AQ209" s="1827"/>
      <c r="AR209" s="1827"/>
      <c r="AS209" s="1827"/>
      <c r="AT209" s="1827"/>
      <c r="AU209" s="1827"/>
      <c r="AV209" s="1827"/>
      <c r="AW209" s="1827"/>
      <c r="AX209" s="1827"/>
      <c r="AY209" s="1827"/>
      <c r="AZ209" s="1827"/>
      <c r="BA209" s="1827"/>
      <c r="BB209" s="1827"/>
      <c r="BC209" s="1827"/>
      <c r="BD209" s="1827"/>
      <c r="BE209" s="1827"/>
      <c r="BF209" s="1827"/>
      <c r="BG209" s="1639"/>
    </row>
    <row customHeight="1" ht="0.75">
      <c r="A210" s="1170" t="s">
        <v>1261</v>
      </c>
      <c r="B210" s="1170"/>
      <c r="C210" s="1170"/>
      <c r="D210" s="1164"/>
      <c r="E210" s="1174"/>
      <c r="F210" s="2540">
        <v>2045</v>
      </c>
      <c r="G210" s="2519"/>
      <c r="H210" s="2544" t="s">
        <v>394</v>
      </c>
      <c r="I210" s="2545"/>
      <c r="J210" s="2546"/>
      <c r="K210" s="2546"/>
      <c r="L210" s="2538"/>
      <c r="M210" s="2272"/>
      <c r="N210" s="2040"/>
      <c r="O210" s="2039"/>
      <c r="P210" s="2040"/>
      <c r="Q210" s="2040"/>
      <c r="R210" s="2040"/>
      <c r="S210" s="2040"/>
      <c r="T210" s="2040"/>
      <c r="U210" s="2040"/>
      <c r="V210" s="2040"/>
      <c r="W210" s="2040"/>
      <c r="X210" s="2040"/>
      <c r="Y210" s="2040"/>
      <c r="Z210" s="2040"/>
      <c r="AA210" s="2040"/>
      <c r="AB210" s="2040"/>
      <c r="AC210" s="2040"/>
      <c r="AD210" s="2040"/>
      <c r="AE210" s="2040"/>
      <c r="AF210" s="2542"/>
      <c r="AG210" s="2538"/>
      <c r="AH210" s="2538"/>
      <c r="AI210" s="2542"/>
      <c r="AJ210" s="2538"/>
      <c r="AK210" s="2538"/>
      <c r="AL210" s="1992"/>
      <c r="AM210" s="1827"/>
      <c r="AN210" s="1827"/>
      <c r="AO210" s="1827"/>
      <c r="AP210" s="1827"/>
      <c r="AQ210" s="1827"/>
      <c r="AR210" s="1827"/>
      <c r="AS210" s="1827"/>
      <c r="AT210" s="1827"/>
      <c r="AU210" s="1827"/>
      <c r="AV210" s="1827"/>
      <c r="AW210" s="1827"/>
      <c r="AX210" s="1827"/>
      <c r="AY210" s="1827"/>
      <c r="AZ210" s="1827"/>
      <c r="BA210" s="1827"/>
      <c r="BB210" s="1827"/>
      <c r="BC210" s="1827"/>
      <c r="BD210" s="1827"/>
      <c r="BE210" s="1827"/>
      <c r="BF210" s="1827"/>
      <c r="BG210" s="1639"/>
    </row>
    <row customHeight="1" ht="0.75">
      <c r="A211" s="1170" t="s">
        <v>1261</v>
      </c>
      <c r="B211" s="1170"/>
      <c r="C211" s="1170"/>
      <c r="D211" s="1164"/>
      <c r="E211" s="1174"/>
      <c r="F211" s="2540"/>
      <c r="G211" s="2519"/>
      <c r="H211" s="2544"/>
      <c r="I211" s="2545"/>
      <c r="J211" s="2546"/>
      <c r="K211" s="2546"/>
      <c r="L211" s="2538"/>
      <c r="M211" s="2272"/>
      <c r="N211" s="2547"/>
      <c r="O211" s="2548"/>
      <c r="P211" s="2592"/>
      <c r="Q211" s="2543"/>
      <c r="R211" s="2543"/>
      <c r="S211" s="2543"/>
      <c r="T211" s="2543"/>
      <c r="U211" s="2543"/>
      <c r="V211" s="2543"/>
      <c r="W211" s="2543"/>
      <c r="X211" s="2543"/>
      <c r="Y211" s="2543"/>
      <c r="Z211" s="2041"/>
      <c r="AA211" s="2042"/>
      <c r="AB211" s="2042"/>
      <c r="AC211" s="2043"/>
      <c r="AD211" s="2043"/>
      <c r="AE211" s="2044"/>
      <c r="AF211" s="2542"/>
      <c r="AG211" s="2538"/>
      <c r="AH211" s="2538"/>
      <c r="AI211" s="2542"/>
      <c r="AJ211" s="2538"/>
      <c r="AK211" s="2538"/>
      <c r="AL211" s="1992"/>
      <c r="AM211" s="1827"/>
      <c r="AN211" s="1827"/>
      <c r="AO211" s="1827"/>
      <c r="AP211" s="1827"/>
      <c r="AQ211" s="1827"/>
      <c r="AR211" s="1827"/>
      <c r="AS211" s="1827"/>
      <c r="AT211" s="1827"/>
      <c r="AU211" s="1827"/>
      <c r="AV211" s="1827"/>
      <c r="AW211" s="1827"/>
      <c r="AX211" s="1827"/>
      <c r="AY211" s="1827"/>
      <c r="AZ211" s="1827"/>
      <c r="BA211" s="1827"/>
      <c r="BB211" s="1827"/>
      <c r="BC211" s="1827"/>
      <c r="BD211" s="1827"/>
      <c r="BE211" s="1827"/>
      <c r="BF211" s="1827"/>
      <c r="BG211" s="1639"/>
    </row>
    <row customHeight="1" ht="0.75">
      <c r="A212" s="1170" t="s">
        <v>1261</v>
      </c>
      <c r="B212" s="1170"/>
      <c r="C212" s="1170"/>
      <c r="D212" s="1164"/>
      <c r="E212" s="1174"/>
      <c r="F212" s="2540"/>
      <c r="G212" s="2519"/>
      <c r="H212" s="2544"/>
      <c r="I212" s="2545"/>
      <c r="J212" s="2546"/>
      <c r="K212" s="2546"/>
      <c r="L212" s="2538"/>
      <c r="M212" s="2272"/>
      <c r="N212" s="2547"/>
      <c r="O212" s="2548"/>
      <c r="P212" s="2593"/>
      <c r="Q212" s="2543"/>
      <c r="R212" s="2543"/>
      <c r="S212" s="2543"/>
      <c r="T212" s="2543"/>
      <c r="U212" s="2543"/>
      <c r="V212" s="2543"/>
      <c r="W212" s="2543"/>
      <c r="X212" s="2543"/>
      <c r="Y212" s="2543"/>
      <c r="Z212" s="2045"/>
      <c r="AA212" s="2046"/>
      <c r="AB212" s="2047"/>
      <c r="AC212" s="2048"/>
      <c r="AD212" s="2047"/>
      <c r="AE212" s="2048"/>
      <c r="AF212" s="2542"/>
      <c r="AG212" s="2538"/>
      <c r="AH212" s="2538"/>
      <c r="AI212" s="2542"/>
      <c r="AJ212" s="2538"/>
      <c r="AK212" s="2538"/>
      <c r="AL212" s="1992"/>
      <c r="AM212" s="1827"/>
      <c r="AN212" s="1827"/>
      <c r="AO212" s="1827"/>
      <c r="AP212" s="1827"/>
      <c r="AQ212" s="1827"/>
      <c r="AR212" s="1827"/>
      <c r="AS212" s="1827"/>
      <c r="AT212" s="1827"/>
      <c r="AU212" s="1827"/>
      <c r="AV212" s="1827"/>
      <c r="AW212" s="1827"/>
      <c r="AX212" s="1827"/>
      <c r="AY212" s="1827"/>
      <c r="AZ212" s="1827"/>
      <c r="BA212" s="1827"/>
      <c r="BB212" s="1827"/>
      <c r="BC212" s="1827"/>
      <c r="BD212" s="1827"/>
      <c r="BE212" s="1827"/>
      <c r="BF212" s="1827"/>
      <c r="BG212" s="1639"/>
    </row>
    <row customHeight="1" ht="0.75">
      <c r="A213" s="1170" t="s">
        <v>1261</v>
      </c>
      <c r="B213" s="1170"/>
      <c r="C213" s="1170"/>
      <c r="D213" s="1164"/>
      <c r="E213" s="1174"/>
      <c r="F213" s="2540"/>
      <c r="G213" s="2519"/>
      <c r="H213" s="2544"/>
      <c r="I213" s="2545"/>
      <c r="J213" s="2546"/>
      <c r="K213" s="2546"/>
      <c r="L213" s="2538"/>
      <c r="M213" s="2272"/>
      <c r="N213" s="2547"/>
      <c r="O213" s="2548"/>
      <c r="P213" s="2594"/>
      <c r="Q213" s="2543"/>
      <c r="R213" s="2543"/>
      <c r="S213" s="2543"/>
      <c r="T213" s="2543"/>
      <c r="U213" s="2543"/>
      <c r="V213" s="2543"/>
      <c r="W213" s="2543"/>
      <c r="X213" s="2543"/>
      <c r="Y213" s="2543"/>
      <c r="Z213" s="2041"/>
      <c r="AA213" s="2042"/>
      <c r="AB213" s="2049"/>
      <c r="AC213" s="2043"/>
      <c r="AD213" s="2043"/>
      <c r="AE213" s="2050"/>
      <c r="AF213" s="2542"/>
      <c r="AG213" s="2538"/>
      <c r="AH213" s="2538"/>
      <c r="AI213" s="2542"/>
      <c r="AJ213" s="2538"/>
      <c r="AK213" s="2538"/>
      <c r="AL213" s="1992"/>
      <c r="AM213" s="1827"/>
      <c r="AN213" s="1827"/>
      <c r="AO213" s="1827"/>
      <c r="AP213" s="1827"/>
      <c r="AQ213" s="1827"/>
      <c r="AR213" s="1827"/>
      <c r="AS213" s="1827"/>
      <c r="AT213" s="1827"/>
      <c r="AU213" s="1827"/>
      <c r="AV213" s="1827"/>
      <c r="AW213" s="1827"/>
      <c r="AX213" s="1827"/>
      <c r="AY213" s="1827"/>
      <c r="AZ213" s="1827"/>
      <c r="BA213" s="1827"/>
      <c r="BB213" s="1827"/>
      <c r="BC213" s="1827"/>
      <c r="BD213" s="1827"/>
      <c r="BE213" s="1827"/>
      <c r="BF213" s="1827"/>
      <c r="BG213" s="1639"/>
    </row>
    <row customHeight="1" ht="0.75">
      <c r="A214" s="1170" t="s">
        <v>1261</v>
      </c>
      <c r="B214" s="1170"/>
      <c r="C214" s="1170"/>
      <c r="D214" s="1164"/>
      <c r="E214" s="1174"/>
      <c r="F214" s="2540"/>
      <c r="G214" s="2519"/>
      <c r="H214" s="2544"/>
      <c r="I214" s="2545"/>
      <c r="J214" s="2546"/>
      <c r="K214" s="2546"/>
      <c r="L214" s="2538"/>
      <c r="M214" s="2272"/>
      <c r="N214" s="2042"/>
      <c r="O214" s="2042"/>
      <c r="P214" s="2049"/>
      <c r="Q214" s="2042"/>
      <c r="R214" s="2042"/>
      <c r="S214" s="2042"/>
      <c r="T214" s="2042"/>
      <c r="U214" s="2042"/>
      <c r="V214" s="2042"/>
      <c r="W214" s="2042"/>
      <c r="X214" s="2042"/>
      <c r="Y214" s="2042"/>
      <c r="Z214" s="2042"/>
      <c r="AA214" s="2042"/>
      <c r="AB214" s="2042"/>
      <c r="AC214" s="2042"/>
      <c r="AD214" s="2042"/>
      <c r="AE214" s="2051"/>
      <c r="AF214" s="2542"/>
      <c r="AG214" s="2538"/>
      <c r="AH214" s="2538"/>
      <c r="AI214" s="2542"/>
      <c r="AJ214" s="2538"/>
      <c r="AK214" s="2538"/>
      <c r="AL214" s="1992"/>
      <c r="AM214" s="1827"/>
      <c r="AN214" s="1827"/>
      <c r="AO214" s="1827"/>
      <c r="AP214" s="1827"/>
      <c r="AQ214" s="1827"/>
      <c r="AR214" s="1827"/>
      <c r="AS214" s="1827"/>
      <c r="AT214" s="1827"/>
      <c r="AU214" s="1827"/>
      <c r="AV214" s="1827"/>
      <c r="AW214" s="1827"/>
      <c r="AX214" s="1827"/>
      <c r="AY214" s="1827"/>
      <c r="AZ214" s="1827"/>
      <c r="BA214" s="1827"/>
      <c r="BB214" s="1827"/>
      <c r="BC214" s="1827"/>
      <c r="BD214" s="1827"/>
      <c r="BE214" s="1827"/>
      <c r="BF214" s="1827"/>
      <c r="BG214" s="1639"/>
    </row>
    <row customHeight="1" ht="12">
      <c r="A215" s="1170" t="s">
        <v>1261</v>
      </c>
      <c r="B215" s="1170"/>
      <c r="C215" s="1170"/>
      <c r="D215" s="1164"/>
      <c r="E215" s="1174"/>
      <c r="F215" s="2541"/>
      <c r="G215" s="1194"/>
      <c r="H215" s="1194"/>
      <c r="I215" s="2539" t="s">
        <v>1321</v>
      </c>
      <c r="J215" s="2539"/>
      <c r="K215" s="2539"/>
      <c r="L215" s="1177"/>
      <c r="M215" s="1177"/>
      <c r="N215" s="1178"/>
      <c r="O215" s="1178"/>
      <c r="P215" s="1178"/>
      <c r="Q215" s="1178"/>
      <c r="R215" s="1178"/>
      <c r="S215" s="1178"/>
      <c r="T215" s="1178"/>
      <c r="U215" s="1178"/>
      <c r="V215" s="1178"/>
      <c r="W215" s="1178"/>
      <c r="X215" s="1178"/>
      <c r="Y215" s="1178"/>
      <c r="Z215" s="1178"/>
      <c r="AA215" s="1178"/>
      <c r="AB215" s="1178"/>
      <c r="AC215" s="1178"/>
      <c r="AD215" s="1178"/>
      <c r="AE215" s="1178"/>
      <c r="AF215" s="1178"/>
      <c r="AG215" s="1177"/>
      <c r="AH215" s="1177"/>
      <c r="AI215" s="1178"/>
      <c r="AJ215" s="1177"/>
      <c r="AK215" s="1178"/>
      <c r="AL215" s="1992"/>
      <c r="AM215" s="1827"/>
      <c r="AN215" s="1827"/>
      <c r="AO215" s="1827"/>
      <c r="AP215" s="1827"/>
      <c r="AQ215" s="1827"/>
      <c r="AR215" s="1827"/>
      <c r="AS215" s="1827"/>
      <c r="AT215" s="1827"/>
      <c r="AU215" s="1827"/>
      <c r="AV215" s="1827"/>
      <c r="AW215" s="1827"/>
      <c r="AX215" s="1827"/>
      <c r="AY215" s="1827"/>
      <c r="AZ215" s="1827"/>
      <c r="BA215" s="1827"/>
      <c r="BB215" s="1827"/>
      <c r="BC215" s="1827"/>
      <c r="BD215" s="1827"/>
      <c r="BE215" s="1827"/>
      <c r="BF215" s="1827"/>
      <c r="BG215" s="1639"/>
    </row>
    <row customHeight="1" ht="0.75">
      <c r="A216" s="1170" t="s">
        <v>1261</v>
      </c>
      <c r="B216" s="1170"/>
      <c r="C216" s="1170"/>
      <c r="D216" s="1164"/>
      <c r="E216" s="1174"/>
      <c r="F216" s="2540">
        <v>2046</v>
      </c>
      <c r="G216" s="2519"/>
      <c r="H216" s="2544" t="s">
        <v>394</v>
      </c>
      <c r="I216" s="2545"/>
      <c r="J216" s="2546"/>
      <c r="K216" s="2546"/>
      <c r="L216" s="2538"/>
      <c r="M216" s="2272"/>
      <c r="N216" s="2040"/>
      <c r="O216" s="2039"/>
      <c r="P216" s="2040"/>
      <c r="Q216" s="2040"/>
      <c r="R216" s="2040"/>
      <c r="S216" s="2040"/>
      <c r="T216" s="2040"/>
      <c r="U216" s="2040"/>
      <c r="V216" s="2040"/>
      <c r="W216" s="2040"/>
      <c r="X216" s="2040"/>
      <c r="Y216" s="2040"/>
      <c r="Z216" s="2040"/>
      <c r="AA216" s="2040"/>
      <c r="AB216" s="2040"/>
      <c r="AC216" s="2040"/>
      <c r="AD216" s="2040"/>
      <c r="AE216" s="2040"/>
      <c r="AF216" s="2542"/>
      <c r="AG216" s="2538"/>
      <c r="AH216" s="2538"/>
      <c r="AI216" s="2542"/>
      <c r="AJ216" s="2538"/>
      <c r="AK216" s="2538"/>
      <c r="AL216" s="1992"/>
      <c r="AM216" s="1827"/>
      <c r="AN216" s="1827"/>
      <c r="AO216" s="1827"/>
      <c r="AP216" s="1827"/>
      <c r="AQ216" s="1827"/>
      <c r="AR216" s="1827"/>
      <c r="AS216" s="1827"/>
      <c r="AT216" s="1827"/>
      <c r="AU216" s="1827"/>
      <c r="AV216" s="1827"/>
      <c r="AW216" s="1827"/>
      <c r="AX216" s="1827"/>
      <c r="AY216" s="1827"/>
      <c r="AZ216" s="1827"/>
      <c r="BA216" s="1827"/>
      <c r="BB216" s="1827"/>
      <c r="BC216" s="1827"/>
      <c r="BD216" s="1827"/>
      <c r="BE216" s="1827"/>
      <c r="BF216" s="1827"/>
      <c r="BG216" s="1639"/>
    </row>
    <row customHeight="1" ht="0.75">
      <c r="A217" s="1170" t="s">
        <v>1261</v>
      </c>
      <c r="B217" s="1170"/>
      <c r="C217" s="1170"/>
      <c r="D217" s="1164"/>
      <c r="E217" s="1174"/>
      <c r="F217" s="2540"/>
      <c r="G217" s="2519"/>
      <c r="H217" s="2544"/>
      <c r="I217" s="2545"/>
      <c r="J217" s="2546"/>
      <c r="K217" s="2546"/>
      <c r="L217" s="2538"/>
      <c r="M217" s="2272"/>
      <c r="N217" s="2547"/>
      <c r="O217" s="2548"/>
      <c r="P217" s="2592"/>
      <c r="Q217" s="2543"/>
      <c r="R217" s="2543"/>
      <c r="S217" s="2543"/>
      <c r="T217" s="2543"/>
      <c r="U217" s="2543"/>
      <c r="V217" s="2543"/>
      <c r="W217" s="2543"/>
      <c r="X217" s="2543"/>
      <c r="Y217" s="2543"/>
      <c r="Z217" s="2041"/>
      <c r="AA217" s="2042"/>
      <c r="AB217" s="2042"/>
      <c r="AC217" s="2043"/>
      <c r="AD217" s="2043"/>
      <c r="AE217" s="2044"/>
      <c r="AF217" s="2542"/>
      <c r="AG217" s="2538"/>
      <c r="AH217" s="2538"/>
      <c r="AI217" s="2542"/>
      <c r="AJ217" s="2538"/>
      <c r="AK217" s="2538"/>
      <c r="AL217" s="1992"/>
      <c r="AM217" s="1827"/>
      <c r="AN217" s="1827"/>
      <c r="AO217" s="1827"/>
      <c r="AP217" s="1827"/>
      <c r="AQ217" s="1827"/>
      <c r="AR217" s="1827"/>
      <c r="AS217" s="1827"/>
      <c r="AT217" s="1827"/>
      <c r="AU217" s="1827"/>
      <c r="AV217" s="1827"/>
      <c r="AW217" s="1827"/>
      <c r="AX217" s="1827"/>
      <c r="AY217" s="1827"/>
      <c r="AZ217" s="1827"/>
      <c r="BA217" s="1827"/>
      <c r="BB217" s="1827"/>
      <c r="BC217" s="1827"/>
      <c r="BD217" s="1827"/>
      <c r="BE217" s="1827"/>
      <c r="BF217" s="1827"/>
      <c r="BG217" s="1639"/>
    </row>
    <row customHeight="1" ht="0.75">
      <c r="A218" s="1170" t="s">
        <v>1261</v>
      </c>
      <c r="B218" s="1170"/>
      <c r="C218" s="1170"/>
      <c r="D218" s="1164"/>
      <c r="E218" s="1174"/>
      <c r="F218" s="2540"/>
      <c r="G218" s="2519"/>
      <c r="H218" s="2544"/>
      <c r="I218" s="2545"/>
      <c r="J218" s="2546"/>
      <c r="K218" s="2546"/>
      <c r="L218" s="2538"/>
      <c r="M218" s="2272"/>
      <c r="N218" s="2547"/>
      <c r="O218" s="2548"/>
      <c r="P218" s="2593"/>
      <c r="Q218" s="2543"/>
      <c r="R218" s="2543"/>
      <c r="S218" s="2543"/>
      <c r="T218" s="2543"/>
      <c r="U218" s="2543"/>
      <c r="V218" s="2543"/>
      <c r="W218" s="2543"/>
      <c r="X218" s="2543"/>
      <c r="Y218" s="2543"/>
      <c r="Z218" s="2045"/>
      <c r="AA218" s="2046"/>
      <c r="AB218" s="2047"/>
      <c r="AC218" s="2048"/>
      <c r="AD218" s="2047"/>
      <c r="AE218" s="2048"/>
      <c r="AF218" s="2542"/>
      <c r="AG218" s="2538"/>
      <c r="AH218" s="2538"/>
      <c r="AI218" s="2542"/>
      <c r="AJ218" s="2538"/>
      <c r="AK218" s="2538"/>
      <c r="AL218" s="1992"/>
      <c r="AM218" s="1827"/>
      <c r="AN218" s="1827"/>
      <c r="AO218" s="1827"/>
      <c r="AP218" s="1827"/>
      <c r="AQ218" s="1827"/>
      <c r="AR218" s="1827"/>
      <c r="AS218" s="1827"/>
      <c r="AT218" s="1827"/>
      <c r="AU218" s="1827"/>
      <c r="AV218" s="1827"/>
      <c r="AW218" s="1827"/>
      <c r="AX218" s="1827"/>
      <c r="AY218" s="1827"/>
      <c r="AZ218" s="1827"/>
      <c r="BA218" s="1827"/>
      <c r="BB218" s="1827"/>
      <c r="BC218" s="1827"/>
      <c r="BD218" s="1827"/>
      <c r="BE218" s="1827"/>
      <c r="BF218" s="1827"/>
      <c r="BG218" s="1639"/>
    </row>
    <row customHeight="1" ht="0.75">
      <c r="A219" s="1170" t="s">
        <v>1261</v>
      </c>
      <c r="B219" s="1170"/>
      <c r="C219" s="1170"/>
      <c r="D219" s="1164"/>
      <c r="E219" s="1174"/>
      <c r="F219" s="2540"/>
      <c r="G219" s="2519"/>
      <c r="H219" s="2544"/>
      <c r="I219" s="2545"/>
      <c r="J219" s="2546"/>
      <c r="K219" s="2546"/>
      <c r="L219" s="2538"/>
      <c r="M219" s="2272"/>
      <c r="N219" s="2547"/>
      <c r="O219" s="2548"/>
      <c r="P219" s="2594"/>
      <c r="Q219" s="2543"/>
      <c r="R219" s="2543"/>
      <c r="S219" s="2543"/>
      <c r="T219" s="2543"/>
      <c r="U219" s="2543"/>
      <c r="V219" s="2543"/>
      <c r="W219" s="2543"/>
      <c r="X219" s="2543"/>
      <c r="Y219" s="2543"/>
      <c r="Z219" s="2041"/>
      <c r="AA219" s="2042"/>
      <c r="AB219" s="2049"/>
      <c r="AC219" s="2043"/>
      <c r="AD219" s="2043"/>
      <c r="AE219" s="2050"/>
      <c r="AF219" s="2542"/>
      <c r="AG219" s="2538"/>
      <c r="AH219" s="2538"/>
      <c r="AI219" s="2542"/>
      <c r="AJ219" s="2538"/>
      <c r="AK219" s="2538"/>
      <c r="AL219" s="1992"/>
      <c r="AM219" s="1827"/>
      <c r="AN219" s="1827"/>
      <c r="AO219" s="1827"/>
      <c r="AP219" s="1827"/>
      <c r="AQ219" s="1827"/>
      <c r="AR219" s="1827"/>
      <c r="AS219" s="1827"/>
      <c r="AT219" s="1827"/>
      <c r="AU219" s="1827"/>
      <c r="AV219" s="1827"/>
      <c r="AW219" s="1827"/>
      <c r="AX219" s="1827"/>
      <c r="AY219" s="1827"/>
      <c r="AZ219" s="1827"/>
      <c r="BA219" s="1827"/>
      <c r="BB219" s="1827"/>
      <c r="BC219" s="1827"/>
      <c r="BD219" s="1827"/>
      <c r="BE219" s="1827"/>
      <c r="BF219" s="1827"/>
      <c r="BG219" s="1639"/>
    </row>
    <row customHeight="1" ht="0.75">
      <c r="A220" s="1170" t="s">
        <v>1261</v>
      </c>
      <c r="B220" s="1170"/>
      <c r="C220" s="1170"/>
      <c r="D220" s="1164"/>
      <c r="E220" s="1174"/>
      <c r="F220" s="2540"/>
      <c r="G220" s="2519"/>
      <c r="H220" s="2544"/>
      <c r="I220" s="2545"/>
      <c r="J220" s="2546"/>
      <c r="K220" s="2546"/>
      <c r="L220" s="2538"/>
      <c r="M220" s="2272"/>
      <c r="N220" s="2042"/>
      <c r="O220" s="2042"/>
      <c r="P220" s="2049"/>
      <c r="Q220" s="2042"/>
      <c r="R220" s="2042"/>
      <c r="S220" s="2042"/>
      <c r="T220" s="2042"/>
      <c r="U220" s="2042"/>
      <c r="V220" s="2042"/>
      <c r="W220" s="2042"/>
      <c r="X220" s="2042"/>
      <c r="Y220" s="2042"/>
      <c r="Z220" s="2042"/>
      <c r="AA220" s="2042"/>
      <c r="AB220" s="2042"/>
      <c r="AC220" s="2042"/>
      <c r="AD220" s="2042"/>
      <c r="AE220" s="2051"/>
      <c r="AF220" s="2542"/>
      <c r="AG220" s="2538"/>
      <c r="AH220" s="2538"/>
      <c r="AI220" s="2542"/>
      <c r="AJ220" s="2538"/>
      <c r="AK220" s="2538"/>
      <c r="AL220" s="1992"/>
      <c r="AM220" s="1827"/>
      <c r="AN220" s="1827"/>
      <c r="AO220" s="1827"/>
      <c r="AP220" s="1827"/>
      <c r="AQ220" s="1827"/>
      <c r="AR220" s="1827"/>
      <c r="AS220" s="1827"/>
      <c r="AT220" s="1827"/>
      <c r="AU220" s="1827"/>
      <c r="AV220" s="1827"/>
      <c r="AW220" s="1827"/>
      <c r="AX220" s="1827"/>
      <c r="AY220" s="1827"/>
      <c r="AZ220" s="1827"/>
      <c r="BA220" s="1827"/>
      <c r="BB220" s="1827"/>
      <c r="BC220" s="1827"/>
      <c r="BD220" s="1827"/>
      <c r="BE220" s="1827"/>
      <c r="BF220" s="1827"/>
      <c r="BG220" s="1639"/>
    </row>
    <row customHeight="1" ht="12">
      <c r="A221" s="1170" t="s">
        <v>1261</v>
      </c>
      <c r="B221" s="1170"/>
      <c r="C221" s="1170"/>
      <c r="D221" s="1164"/>
      <c r="E221" s="1174"/>
      <c r="F221" s="2541"/>
      <c r="G221" s="1194"/>
      <c r="H221" s="1194"/>
      <c r="I221" s="2539" t="s">
        <v>1321</v>
      </c>
      <c r="J221" s="2539"/>
      <c r="K221" s="2539"/>
      <c r="L221" s="1177"/>
      <c r="M221" s="1177"/>
      <c r="N221" s="1178"/>
      <c r="O221" s="1178"/>
      <c r="P221" s="1178"/>
      <c r="Q221" s="1178"/>
      <c r="R221" s="1178"/>
      <c r="S221" s="1178"/>
      <c r="T221" s="1178"/>
      <c r="U221" s="1178"/>
      <c r="V221" s="1178"/>
      <c r="W221" s="1178"/>
      <c r="X221" s="1178"/>
      <c r="Y221" s="1178"/>
      <c r="Z221" s="1178"/>
      <c r="AA221" s="1178"/>
      <c r="AB221" s="1178"/>
      <c r="AC221" s="1178"/>
      <c r="AD221" s="1178"/>
      <c r="AE221" s="1178"/>
      <c r="AF221" s="1178"/>
      <c r="AG221" s="1177"/>
      <c r="AH221" s="1177"/>
      <c r="AI221" s="1178"/>
      <c r="AJ221" s="1177"/>
      <c r="AK221" s="1178"/>
      <c r="AL221" s="1992"/>
      <c r="AM221" s="1827"/>
      <c r="AN221" s="1827"/>
      <c r="AO221" s="1827"/>
      <c r="AP221" s="1827"/>
      <c r="AQ221" s="1827"/>
      <c r="AR221" s="1827"/>
      <c r="AS221" s="1827"/>
      <c r="AT221" s="1827"/>
      <c r="AU221" s="1827"/>
      <c r="AV221" s="1827"/>
      <c r="AW221" s="1827"/>
      <c r="AX221" s="1827"/>
      <c r="AY221" s="1827"/>
      <c r="AZ221" s="1827"/>
      <c r="BA221" s="1827"/>
      <c r="BB221" s="1827"/>
      <c r="BC221" s="1827"/>
      <c r="BD221" s="1827"/>
      <c r="BE221" s="1827"/>
      <c r="BF221" s="1827"/>
      <c r="BG221" s="1639"/>
    </row>
    <row customHeight="1" ht="0.75">
      <c r="A222" s="1170" t="s">
        <v>1261</v>
      </c>
      <c r="B222" s="1170"/>
      <c r="C222" s="1170"/>
      <c r="D222" s="1164"/>
      <c r="E222" s="1174"/>
      <c r="F222" s="2540">
        <v>2047</v>
      </c>
      <c r="G222" s="2519"/>
      <c r="H222" s="2544" t="s">
        <v>394</v>
      </c>
      <c r="I222" s="2545"/>
      <c r="J222" s="2546"/>
      <c r="K222" s="2546"/>
      <c r="L222" s="2538"/>
      <c r="M222" s="2272"/>
      <c r="N222" s="2040"/>
      <c r="O222" s="2039"/>
      <c r="P222" s="2040"/>
      <c r="Q222" s="2040"/>
      <c r="R222" s="2040"/>
      <c r="S222" s="2040"/>
      <c r="T222" s="2040"/>
      <c r="U222" s="2040"/>
      <c r="V222" s="2040"/>
      <c r="W222" s="2040"/>
      <c r="X222" s="2040"/>
      <c r="Y222" s="2040"/>
      <c r="Z222" s="2040"/>
      <c r="AA222" s="2040"/>
      <c r="AB222" s="2040"/>
      <c r="AC222" s="2040"/>
      <c r="AD222" s="2040"/>
      <c r="AE222" s="2040"/>
      <c r="AF222" s="2542"/>
      <c r="AG222" s="2538"/>
      <c r="AH222" s="2538"/>
      <c r="AI222" s="2542"/>
      <c r="AJ222" s="2538"/>
      <c r="AK222" s="2538"/>
      <c r="AL222" s="1992"/>
      <c r="AM222" s="1827"/>
      <c r="AN222" s="1827"/>
      <c r="AO222" s="1827"/>
      <c r="AP222" s="1827"/>
      <c r="AQ222" s="1827"/>
      <c r="AR222" s="1827"/>
      <c r="AS222" s="1827"/>
      <c r="AT222" s="1827"/>
      <c r="AU222" s="1827"/>
      <c r="AV222" s="1827"/>
      <c r="AW222" s="1827"/>
      <c r="AX222" s="1827"/>
      <c r="AY222" s="1827"/>
      <c r="AZ222" s="1827"/>
      <c r="BA222" s="1827"/>
      <c r="BB222" s="1827"/>
      <c r="BC222" s="1827"/>
      <c r="BD222" s="1827"/>
      <c r="BE222" s="1827"/>
      <c r="BF222" s="1827"/>
      <c r="BG222" s="1639"/>
    </row>
    <row customHeight="1" ht="0.75">
      <c r="A223" s="1170" t="s">
        <v>1261</v>
      </c>
      <c r="B223" s="1170"/>
      <c r="C223" s="1170"/>
      <c r="D223" s="1164"/>
      <c r="E223" s="1174"/>
      <c r="F223" s="2540"/>
      <c r="G223" s="2519"/>
      <c r="H223" s="2544"/>
      <c r="I223" s="2545"/>
      <c r="J223" s="2546"/>
      <c r="K223" s="2546"/>
      <c r="L223" s="2538"/>
      <c r="M223" s="2272"/>
      <c r="N223" s="2547"/>
      <c r="O223" s="2548"/>
      <c r="P223" s="2592"/>
      <c r="Q223" s="2543"/>
      <c r="R223" s="2543"/>
      <c r="S223" s="2543"/>
      <c r="T223" s="2543"/>
      <c r="U223" s="2543"/>
      <c r="V223" s="2543"/>
      <c r="W223" s="2543"/>
      <c r="X223" s="2543"/>
      <c r="Y223" s="2543"/>
      <c r="Z223" s="2041"/>
      <c r="AA223" s="2042"/>
      <c r="AB223" s="2042"/>
      <c r="AC223" s="2043"/>
      <c r="AD223" s="2043"/>
      <c r="AE223" s="2044"/>
      <c r="AF223" s="2542"/>
      <c r="AG223" s="2538"/>
      <c r="AH223" s="2538"/>
      <c r="AI223" s="2542"/>
      <c r="AJ223" s="2538"/>
      <c r="AK223" s="2538"/>
      <c r="AL223" s="1992"/>
      <c r="AM223" s="1827"/>
      <c r="AN223" s="1827"/>
      <c r="AO223" s="1827"/>
      <c r="AP223" s="1827"/>
      <c r="AQ223" s="1827"/>
      <c r="AR223" s="1827"/>
      <c r="AS223" s="1827"/>
      <c r="AT223" s="1827"/>
      <c r="AU223" s="1827"/>
      <c r="AV223" s="1827"/>
      <c r="AW223" s="1827"/>
      <c r="AX223" s="1827"/>
      <c r="AY223" s="1827"/>
      <c r="AZ223" s="1827"/>
      <c r="BA223" s="1827"/>
      <c r="BB223" s="1827"/>
      <c r="BC223" s="1827"/>
      <c r="BD223" s="1827"/>
      <c r="BE223" s="1827"/>
      <c r="BF223" s="1827"/>
      <c r="BG223" s="1639"/>
    </row>
    <row customHeight="1" ht="0.75">
      <c r="A224" s="1170" t="s">
        <v>1261</v>
      </c>
      <c r="B224" s="1170"/>
      <c r="C224" s="1170"/>
      <c r="D224" s="1164"/>
      <c r="E224" s="1174"/>
      <c r="F224" s="2540"/>
      <c r="G224" s="2519"/>
      <c r="H224" s="2544"/>
      <c r="I224" s="2545"/>
      <c r="J224" s="2546"/>
      <c r="K224" s="2546"/>
      <c r="L224" s="2538"/>
      <c r="M224" s="2272"/>
      <c r="N224" s="2547"/>
      <c r="O224" s="2548"/>
      <c r="P224" s="2593"/>
      <c r="Q224" s="2543"/>
      <c r="R224" s="2543"/>
      <c r="S224" s="2543"/>
      <c r="T224" s="2543"/>
      <c r="U224" s="2543"/>
      <c r="V224" s="2543"/>
      <c r="W224" s="2543"/>
      <c r="X224" s="2543"/>
      <c r="Y224" s="2543"/>
      <c r="Z224" s="2045"/>
      <c r="AA224" s="2046"/>
      <c r="AB224" s="2047"/>
      <c r="AC224" s="2048"/>
      <c r="AD224" s="2047"/>
      <c r="AE224" s="2048"/>
      <c r="AF224" s="2542"/>
      <c r="AG224" s="2538"/>
      <c r="AH224" s="2538"/>
      <c r="AI224" s="2542"/>
      <c r="AJ224" s="2538"/>
      <c r="AK224" s="2538"/>
      <c r="AL224" s="1992"/>
      <c r="AM224" s="1827"/>
      <c r="AN224" s="1827"/>
      <c r="AO224" s="1827"/>
      <c r="AP224" s="1827"/>
      <c r="AQ224" s="1827"/>
      <c r="AR224" s="1827"/>
      <c r="AS224" s="1827"/>
      <c r="AT224" s="1827"/>
      <c r="AU224" s="1827"/>
      <c r="AV224" s="1827"/>
      <c r="AW224" s="1827"/>
      <c r="AX224" s="1827"/>
      <c r="AY224" s="1827"/>
      <c r="AZ224" s="1827"/>
      <c r="BA224" s="1827"/>
      <c r="BB224" s="1827"/>
      <c r="BC224" s="1827"/>
      <c r="BD224" s="1827"/>
      <c r="BE224" s="1827"/>
      <c r="BF224" s="1827"/>
      <c r="BG224" s="1639"/>
    </row>
    <row customHeight="1" ht="0.75">
      <c r="A225" s="1170" t="s">
        <v>1261</v>
      </c>
      <c r="B225" s="1170"/>
      <c r="C225" s="1170"/>
      <c r="D225" s="1164"/>
      <c r="E225" s="1174"/>
      <c r="F225" s="2540"/>
      <c r="G225" s="2519"/>
      <c r="H225" s="2544"/>
      <c r="I225" s="2545"/>
      <c r="J225" s="2546"/>
      <c r="K225" s="2546"/>
      <c r="L225" s="2538"/>
      <c r="M225" s="2272"/>
      <c r="N225" s="2547"/>
      <c r="O225" s="2548"/>
      <c r="P225" s="2594"/>
      <c r="Q225" s="2543"/>
      <c r="R225" s="2543"/>
      <c r="S225" s="2543"/>
      <c r="T225" s="2543"/>
      <c r="U225" s="2543"/>
      <c r="V225" s="2543"/>
      <c r="W225" s="2543"/>
      <c r="X225" s="2543"/>
      <c r="Y225" s="2543"/>
      <c r="Z225" s="2041"/>
      <c r="AA225" s="2042"/>
      <c r="AB225" s="2049"/>
      <c r="AC225" s="2043"/>
      <c r="AD225" s="2043"/>
      <c r="AE225" s="2050"/>
      <c r="AF225" s="2542"/>
      <c r="AG225" s="2538"/>
      <c r="AH225" s="2538"/>
      <c r="AI225" s="2542"/>
      <c r="AJ225" s="2538"/>
      <c r="AK225" s="2538"/>
      <c r="AL225" s="1992"/>
      <c r="AM225" s="1827"/>
      <c r="AN225" s="1827"/>
      <c r="AO225" s="1827"/>
      <c r="AP225" s="1827"/>
      <c r="AQ225" s="1827"/>
      <c r="AR225" s="1827"/>
      <c r="AS225" s="1827"/>
      <c r="AT225" s="1827"/>
      <c r="AU225" s="1827"/>
      <c r="AV225" s="1827"/>
      <c r="AW225" s="1827"/>
      <c r="AX225" s="1827"/>
      <c r="AY225" s="1827"/>
      <c r="AZ225" s="1827"/>
      <c r="BA225" s="1827"/>
      <c r="BB225" s="1827"/>
      <c r="BC225" s="1827"/>
      <c r="BD225" s="1827"/>
      <c r="BE225" s="1827"/>
      <c r="BF225" s="1827"/>
      <c r="BG225" s="1639"/>
    </row>
    <row customHeight="1" ht="0.75">
      <c r="A226" s="1170" t="s">
        <v>1261</v>
      </c>
      <c r="B226" s="1170"/>
      <c r="C226" s="1170"/>
      <c r="D226" s="1164"/>
      <c r="E226" s="1174"/>
      <c r="F226" s="2540"/>
      <c r="G226" s="2519"/>
      <c r="H226" s="2544"/>
      <c r="I226" s="2545"/>
      <c r="J226" s="2546"/>
      <c r="K226" s="2546"/>
      <c r="L226" s="2538"/>
      <c r="M226" s="2272"/>
      <c r="N226" s="2042"/>
      <c r="O226" s="2042"/>
      <c r="P226" s="2049"/>
      <c r="Q226" s="2042"/>
      <c r="R226" s="2042"/>
      <c r="S226" s="2042"/>
      <c r="T226" s="2042"/>
      <c r="U226" s="2042"/>
      <c r="V226" s="2042"/>
      <c r="W226" s="2042"/>
      <c r="X226" s="2042"/>
      <c r="Y226" s="2042"/>
      <c r="Z226" s="2042"/>
      <c r="AA226" s="2042"/>
      <c r="AB226" s="2042"/>
      <c r="AC226" s="2042"/>
      <c r="AD226" s="2042"/>
      <c r="AE226" s="2051"/>
      <c r="AF226" s="2542"/>
      <c r="AG226" s="2538"/>
      <c r="AH226" s="2538"/>
      <c r="AI226" s="2542"/>
      <c r="AJ226" s="2538"/>
      <c r="AK226" s="2538"/>
      <c r="AL226" s="1992"/>
      <c r="AM226" s="1827"/>
      <c r="AN226" s="1827"/>
      <c r="AO226" s="1827"/>
      <c r="AP226" s="1827"/>
      <c r="AQ226" s="1827"/>
      <c r="AR226" s="1827"/>
      <c r="AS226" s="1827"/>
      <c r="AT226" s="1827"/>
      <c r="AU226" s="1827"/>
      <c r="AV226" s="1827"/>
      <c r="AW226" s="1827"/>
      <c r="AX226" s="1827"/>
      <c r="AY226" s="1827"/>
      <c r="AZ226" s="1827"/>
      <c r="BA226" s="1827"/>
      <c r="BB226" s="1827"/>
      <c r="BC226" s="1827"/>
      <c r="BD226" s="1827"/>
      <c r="BE226" s="1827"/>
      <c r="BF226" s="1827"/>
      <c r="BG226" s="1639"/>
    </row>
    <row customHeight="1" ht="12">
      <c r="A227" s="1170" t="s">
        <v>1261</v>
      </c>
      <c r="B227" s="1170"/>
      <c r="C227" s="1170"/>
      <c r="D227" s="1164"/>
      <c r="E227" s="1174"/>
      <c r="F227" s="2541"/>
      <c r="G227" s="1194"/>
      <c r="H227" s="1194"/>
      <c r="I227" s="2539" t="s">
        <v>1321</v>
      </c>
      <c r="J227" s="2539"/>
      <c r="K227" s="2539"/>
      <c r="L227" s="1177"/>
      <c r="M227" s="1177"/>
      <c r="N227" s="1178"/>
      <c r="O227" s="1178"/>
      <c r="P227" s="1178"/>
      <c r="Q227" s="1178"/>
      <c r="R227" s="1178"/>
      <c r="S227" s="1178"/>
      <c r="T227" s="1178"/>
      <c r="U227" s="1178"/>
      <c r="V227" s="1178"/>
      <c r="W227" s="1178"/>
      <c r="X227" s="1178"/>
      <c r="Y227" s="1178"/>
      <c r="Z227" s="1178"/>
      <c r="AA227" s="1178"/>
      <c r="AB227" s="1178"/>
      <c r="AC227" s="1178"/>
      <c r="AD227" s="1178"/>
      <c r="AE227" s="1178"/>
      <c r="AF227" s="1178"/>
      <c r="AG227" s="1177"/>
      <c r="AH227" s="1177"/>
      <c r="AI227" s="1178"/>
      <c r="AJ227" s="1177"/>
      <c r="AK227" s="1178"/>
      <c r="AL227" s="1992"/>
      <c r="AM227" s="1827"/>
      <c r="AN227" s="1827"/>
      <c r="AO227" s="1827"/>
      <c r="AP227" s="1827"/>
      <c r="AQ227" s="1827"/>
      <c r="AR227" s="1827"/>
      <c r="AS227" s="1827"/>
      <c r="AT227" s="1827"/>
      <c r="AU227" s="1827"/>
      <c r="AV227" s="1827"/>
      <c r="AW227" s="1827"/>
      <c r="AX227" s="1827"/>
      <c r="AY227" s="1827"/>
      <c r="AZ227" s="1827"/>
      <c r="BA227" s="1827"/>
      <c r="BB227" s="1827"/>
      <c r="BC227" s="1827"/>
      <c r="BD227" s="1827"/>
      <c r="BE227" s="1827"/>
      <c r="BF227" s="1827"/>
      <c r="BG227" s="1639"/>
    </row>
    <row customHeight="1" ht="21">
      <c r="A228" s="1171" t="s">
        <v>1270</v>
      </c>
      <c r="B228" s="1170"/>
      <c r="C228" s="1170"/>
      <c r="D228" s="1164"/>
      <c r="E228" s="1174" t="s">
        <v>22</v>
      </c>
      <c r="F228" s="1126" t="str">
        <f>INDEX(IP_MAIN_LIST_NAME_IP,MATCH(A228,IP_MAIN_LIST_IP_ID,0))&amp;" ("&amp;INDEX(IP_MAIN_START_DATE,MATCH(A228,IP_MAIN_LIST_IP_ID,0))&amp;"-"&amp;INDEX(IP_MAIN_END_DATE,MATCH(A228,IP_MAIN_LIST_IP_ID,0))&amp;")"</f>
        <v>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 (28.05.2021-31.12.2030)</v>
      </c>
      <c r="G228" s="1127"/>
      <c r="H228" s="1127"/>
      <c r="I228" s="1189"/>
      <c r="J228" s="1189"/>
      <c r="K228" s="1190"/>
      <c r="L228" s="1190"/>
      <c r="M228" s="1190"/>
      <c r="N228" s="1191"/>
      <c r="O228" s="1191"/>
      <c r="P228" s="1191"/>
      <c r="Q228" s="1191"/>
      <c r="R228" s="1191"/>
      <c r="S228" s="1191"/>
      <c r="T228" s="1191"/>
      <c r="U228" s="1191"/>
      <c r="V228" s="1191"/>
      <c r="W228" s="1191"/>
      <c r="X228" s="1191"/>
      <c r="Y228" s="1191"/>
      <c r="Z228" s="1191"/>
      <c r="AA228" s="1191"/>
      <c r="AB228" s="1191"/>
      <c r="AC228" s="1191"/>
      <c r="AD228" s="1191"/>
      <c r="AE228" s="1192"/>
      <c r="AF228" s="1190"/>
      <c r="AG228" s="1190"/>
      <c r="AH228" s="1190"/>
      <c r="AI228" s="1190"/>
      <c r="AJ228" s="1190"/>
      <c r="AK228" s="1190"/>
      <c r="AL228" s="1992"/>
      <c r="AM228" s="1827"/>
      <c r="AN228" s="1827"/>
      <c r="AO228" s="1827"/>
      <c r="AP228" s="1827"/>
      <c r="AQ228" s="1827"/>
      <c r="AR228" s="1827"/>
      <c r="AS228" s="1827"/>
      <c r="AT228" s="1827"/>
      <c r="AU228" s="1827"/>
      <c r="AV228" s="1827"/>
      <c r="AW228" s="1827"/>
      <c r="AX228" s="1827"/>
      <c r="AY228" s="1827"/>
      <c r="AZ228" s="1827"/>
      <c r="BA228" s="1827"/>
      <c r="BB228" s="1827"/>
      <c r="BC228" s="1827"/>
      <c r="BD228" s="1827"/>
      <c r="BE228" s="1827"/>
      <c r="BF228" s="1827"/>
      <c r="BG228" s="1639"/>
    </row>
    <row customHeight="1" ht="0.75">
      <c r="A229" s="1170" t="s">
        <v>1270</v>
      </c>
      <c r="B229" s="1170"/>
      <c r="C229" s="1170"/>
      <c r="D229" s="1164"/>
      <c r="E229" s="1174"/>
      <c r="F229" s="2540">
        <v>2021</v>
      </c>
      <c r="G229" s="2519"/>
      <c r="H229" s="2544" t="s">
        <v>394</v>
      </c>
      <c r="I229" s="2545"/>
      <c r="J229" s="2546"/>
      <c r="K229" s="2546"/>
      <c r="L229" s="2538"/>
      <c r="M229" s="2272"/>
      <c r="N229" s="2040"/>
      <c r="O229" s="2039"/>
      <c r="P229" s="2040"/>
      <c r="Q229" s="2040"/>
      <c r="R229" s="2040"/>
      <c r="S229" s="2040"/>
      <c r="T229" s="2040"/>
      <c r="U229" s="2040"/>
      <c r="V229" s="2040"/>
      <c r="W229" s="2040"/>
      <c r="X229" s="2040"/>
      <c r="Y229" s="2040"/>
      <c r="Z229" s="2040"/>
      <c r="AA229" s="2040"/>
      <c r="AB229" s="2040"/>
      <c r="AC229" s="2040"/>
      <c r="AD229" s="2040"/>
      <c r="AE229" s="2040"/>
      <c r="AF229" s="2542"/>
      <c r="AG229" s="2538"/>
      <c r="AH229" s="2538"/>
      <c r="AI229" s="2542"/>
      <c r="AJ229" s="2538"/>
      <c r="AK229" s="2538"/>
      <c r="AL229" s="1992"/>
      <c r="AM229" s="1827"/>
      <c r="AN229" s="1827"/>
      <c r="AO229" s="1827"/>
      <c r="AP229" s="1827"/>
      <c r="AQ229" s="1827"/>
      <c r="AR229" s="1827"/>
      <c r="AS229" s="1827"/>
      <c r="AT229" s="1827"/>
      <c r="AU229" s="1827"/>
      <c r="AV229" s="1827"/>
      <c r="AW229" s="1827"/>
      <c r="AX229" s="1827"/>
      <c r="AY229" s="1827"/>
      <c r="AZ229" s="1827"/>
      <c r="BA229" s="1827"/>
      <c r="BB229" s="1827"/>
      <c r="BC229" s="1827"/>
      <c r="BD229" s="1827"/>
      <c r="BE229" s="1827"/>
      <c r="BF229" s="1827"/>
      <c r="BG229" s="1639"/>
    </row>
    <row customHeight="1" ht="0.75">
      <c r="A230" s="1170" t="s">
        <v>1270</v>
      </c>
      <c r="B230" s="1170"/>
      <c r="C230" s="1170"/>
      <c r="D230" s="1164"/>
      <c r="E230" s="1174"/>
      <c r="F230" s="2540"/>
      <c r="G230" s="2519"/>
      <c r="H230" s="2544"/>
      <c r="I230" s="2545"/>
      <c r="J230" s="2546"/>
      <c r="K230" s="2546"/>
      <c r="L230" s="2538"/>
      <c r="M230" s="2272"/>
      <c r="N230" s="2547"/>
      <c r="O230" s="2548"/>
      <c r="P230" s="2592"/>
      <c r="Q230" s="2543"/>
      <c r="R230" s="2543"/>
      <c r="S230" s="2543"/>
      <c r="T230" s="2543"/>
      <c r="U230" s="2543"/>
      <c r="V230" s="2543"/>
      <c r="W230" s="2543"/>
      <c r="X230" s="2543"/>
      <c r="Y230" s="2543"/>
      <c r="Z230" s="2041"/>
      <c r="AA230" s="2042"/>
      <c r="AB230" s="2042"/>
      <c r="AC230" s="2043"/>
      <c r="AD230" s="2043"/>
      <c r="AE230" s="2044"/>
      <c r="AF230" s="2542"/>
      <c r="AG230" s="2538"/>
      <c r="AH230" s="2538"/>
      <c r="AI230" s="2542"/>
      <c r="AJ230" s="2538"/>
      <c r="AK230" s="2538"/>
      <c r="AL230" s="1992"/>
      <c r="AM230" s="1827"/>
      <c r="AN230" s="1827"/>
      <c r="AO230" s="1827"/>
      <c r="AP230" s="1827"/>
      <c r="AQ230" s="1827"/>
      <c r="AR230" s="1827"/>
      <c r="AS230" s="1827"/>
      <c r="AT230" s="1827"/>
      <c r="AU230" s="1827"/>
      <c r="AV230" s="1827"/>
      <c r="AW230" s="1827"/>
      <c r="AX230" s="1827"/>
      <c r="AY230" s="1827"/>
      <c r="AZ230" s="1827"/>
      <c r="BA230" s="1827"/>
      <c r="BB230" s="1827"/>
      <c r="BC230" s="1827"/>
      <c r="BD230" s="1827"/>
      <c r="BE230" s="1827"/>
      <c r="BF230" s="1827"/>
      <c r="BG230" s="1639"/>
    </row>
    <row customHeight="1" ht="0.75">
      <c r="A231" s="1170" t="s">
        <v>1270</v>
      </c>
      <c r="B231" s="1170"/>
      <c r="C231" s="1170"/>
      <c r="D231" s="1164"/>
      <c r="E231" s="1174"/>
      <c r="F231" s="2540"/>
      <c r="G231" s="2519"/>
      <c r="H231" s="2544"/>
      <c r="I231" s="2545"/>
      <c r="J231" s="2546"/>
      <c r="K231" s="2546"/>
      <c r="L231" s="2538"/>
      <c r="M231" s="2272"/>
      <c r="N231" s="2547"/>
      <c r="O231" s="2548"/>
      <c r="P231" s="2593"/>
      <c r="Q231" s="2543"/>
      <c r="R231" s="2543"/>
      <c r="S231" s="2543"/>
      <c r="T231" s="2543"/>
      <c r="U231" s="2543"/>
      <c r="V231" s="2543"/>
      <c r="W231" s="2543"/>
      <c r="X231" s="2543"/>
      <c r="Y231" s="2543"/>
      <c r="Z231" s="2045"/>
      <c r="AA231" s="2046"/>
      <c r="AB231" s="2047"/>
      <c r="AC231" s="2048"/>
      <c r="AD231" s="2047"/>
      <c r="AE231" s="2048"/>
      <c r="AF231" s="2542"/>
      <c r="AG231" s="2538"/>
      <c r="AH231" s="2538"/>
      <c r="AI231" s="2542"/>
      <c r="AJ231" s="2538"/>
      <c r="AK231" s="2538"/>
      <c r="AL231" s="1992"/>
      <c r="AM231" s="1827"/>
      <c r="AN231" s="1827"/>
      <c r="AO231" s="1827"/>
      <c r="AP231" s="1827"/>
      <c r="AQ231" s="1827"/>
      <c r="AR231" s="1827"/>
      <c r="AS231" s="1827"/>
      <c r="AT231" s="1827"/>
      <c r="AU231" s="1827"/>
      <c r="AV231" s="1827"/>
      <c r="AW231" s="1827"/>
      <c r="AX231" s="1827"/>
      <c r="AY231" s="1827"/>
      <c r="AZ231" s="1827"/>
      <c r="BA231" s="1827"/>
      <c r="BB231" s="1827"/>
      <c r="BC231" s="1827"/>
      <c r="BD231" s="1827"/>
      <c r="BE231" s="1827"/>
      <c r="BF231" s="1827"/>
      <c r="BG231" s="1639"/>
    </row>
    <row customHeight="1" ht="0.75">
      <c r="A232" s="1170" t="s">
        <v>1270</v>
      </c>
      <c r="B232" s="1170"/>
      <c r="C232" s="1170"/>
      <c r="D232" s="1164"/>
      <c r="E232" s="1174"/>
      <c r="F232" s="2540"/>
      <c r="G232" s="2519"/>
      <c r="H232" s="2544"/>
      <c r="I232" s="2545"/>
      <c r="J232" s="2546"/>
      <c r="K232" s="2546"/>
      <c r="L232" s="2538"/>
      <c r="M232" s="2272"/>
      <c r="N232" s="2547"/>
      <c r="O232" s="2548"/>
      <c r="P232" s="2594"/>
      <c r="Q232" s="2543"/>
      <c r="R232" s="2543"/>
      <c r="S232" s="2543"/>
      <c r="T232" s="2543"/>
      <c r="U232" s="2543"/>
      <c r="V232" s="2543"/>
      <c r="W232" s="2543"/>
      <c r="X232" s="2543"/>
      <c r="Y232" s="2543"/>
      <c r="Z232" s="2041"/>
      <c r="AA232" s="2042"/>
      <c r="AB232" s="2049"/>
      <c r="AC232" s="2043"/>
      <c r="AD232" s="2043"/>
      <c r="AE232" s="2050"/>
      <c r="AF232" s="2542"/>
      <c r="AG232" s="2538"/>
      <c r="AH232" s="2538"/>
      <c r="AI232" s="2542"/>
      <c r="AJ232" s="2538"/>
      <c r="AK232" s="2538"/>
      <c r="AL232" s="1992"/>
      <c r="AM232" s="1827"/>
      <c r="AN232" s="1827"/>
      <c r="AO232" s="1827"/>
      <c r="AP232" s="1827"/>
      <c r="AQ232" s="1827"/>
      <c r="AR232" s="1827"/>
      <c r="AS232" s="1827"/>
      <c r="AT232" s="1827"/>
      <c r="AU232" s="1827"/>
      <c r="AV232" s="1827"/>
      <c r="AW232" s="1827"/>
      <c r="AX232" s="1827"/>
      <c r="AY232" s="1827"/>
      <c r="AZ232" s="1827"/>
      <c r="BA232" s="1827"/>
      <c r="BB232" s="1827"/>
      <c r="BC232" s="1827"/>
      <c r="BD232" s="1827"/>
      <c r="BE232" s="1827"/>
      <c r="BF232" s="1827"/>
      <c r="BG232" s="1639"/>
    </row>
    <row customHeight="1" ht="0.75">
      <c r="A233" s="1170" t="s">
        <v>1270</v>
      </c>
      <c r="B233" s="1170"/>
      <c r="C233" s="1170"/>
      <c r="D233" s="1164"/>
      <c r="E233" s="1174"/>
      <c r="F233" s="2540"/>
      <c r="G233" s="2519"/>
      <c r="H233" s="2544"/>
      <c r="I233" s="2545"/>
      <c r="J233" s="2546"/>
      <c r="K233" s="2546"/>
      <c r="L233" s="2538"/>
      <c r="M233" s="2272"/>
      <c r="N233" s="2042"/>
      <c r="O233" s="2042"/>
      <c r="P233" s="2049"/>
      <c r="Q233" s="2042"/>
      <c r="R233" s="2042"/>
      <c r="S233" s="2042"/>
      <c r="T233" s="2042"/>
      <c r="U233" s="2042"/>
      <c r="V233" s="2042"/>
      <c r="W233" s="2042"/>
      <c r="X233" s="2042"/>
      <c r="Y233" s="2042"/>
      <c r="Z233" s="2042"/>
      <c r="AA233" s="2042"/>
      <c r="AB233" s="2042"/>
      <c r="AC233" s="2042"/>
      <c r="AD233" s="2042"/>
      <c r="AE233" s="2051"/>
      <c r="AF233" s="2542"/>
      <c r="AG233" s="2538"/>
      <c r="AH233" s="2538"/>
      <c r="AI233" s="2542"/>
      <c r="AJ233" s="2538"/>
      <c r="AK233" s="2538"/>
      <c r="AL233" s="1992"/>
      <c r="AM233" s="1827"/>
      <c r="AN233" s="1827"/>
      <c r="AO233" s="1827"/>
      <c r="AP233" s="1827"/>
      <c r="AQ233" s="1827"/>
      <c r="AR233" s="1827"/>
      <c r="AS233" s="1827"/>
      <c r="AT233" s="1827"/>
      <c r="AU233" s="1827"/>
      <c r="AV233" s="1827"/>
      <c r="AW233" s="1827"/>
      <c r="AX233" s="1827"/>
      <c r="AY233" s="1827"/>
      <c r="AZ233" s="1827"/>
      <c r="BA233" s="1827"/>
      <c r="BB233" s="1827"/>
      <c r="BC233" s="1827"/>
      <c r="BD233" s="1827"/>
      <c r="BE233" s="1827"/>
      <c r="BF233" s="1827"/>
      <c r="BG233" s="1639"/>
    </row>
    <row customHeight="1" ht="11.25">
      <c r="A234" s="1170" t="s">
        <v>1270</v>
      </c>
      <c r="B234" s="1170" t="s">
        <v>22</v>
      </c>
      <c r="C234" s="1170"/>
      <c r="D234" s="1164"/>
      <c r="E234" s="1174"/>
      <c r="F234" s="1833"/>
      <c r="G234" s="687" t="s">
        <v>104</v>
      </c>
      <c r="H234" s="2519" t="s">
        <v>119</v>
      </c>
      <c r="I234" s="2520" t="s">
        <v>1310</v>
      </c>
      <c r="J234" s="2938" t="s">
        <v>22</v>
      </c>
      <c r="K234" s="2521"/>
      <c r="L234" s="2111" t="s">
        <v>19</v>
      </c>
      <c r="M234" s="2112"/>
      <c r="N234" s="1990"/>
      <c r="O234" s="1181" t="s">
        <v>394</v>
      </c>
      <c r="P234" s="1182"/>
      <c r="Q234" s="1182"/>
      <c r="R234" s="1182"/>
      <c r="S234" s="1182"/>
      <c r="T234" s="1182"/>
      <c r="U234" s="1182"/>
      <c r="V234" s="1182"/>
      <c r="W234" s="1182"/>
      <c r="X234" s="1182"/>
      <c r="Y234" s="1182"/>
      <c r="Z234" s="1182"/>
      <c r="AA234" s="1182"/>
      <c r="AB234" s="1182"/>
      <c r="AC234" s="1182"/>
      <c r="AD234" s="1182"/>
      <c r="AE234" s="1182"/>
      <c r="AF234" s="2510">
        <v>1</v>
      </c>
      <c r="AG234" s="2511" t="s">
        <v>1304</v>
      </c>
      <c r="AH234" s="2511" t="s">
        <v>1322</v>
      </c>
      <c r="AI234" s="2510">
        <v>1</v>
      </c>
      <c r="AJ234" s="2511" t="s">
        <v>1304</v>
      </c>
      <c r="AK234" s="2511" t="s">
        <v>1322</v>
      </c>
      <c r="AL234" s="1992"/>
      <c r="AM234" s="1827"/>
      <c r="AN234" s="1827"/>
      <c r="AO234" s="1827"/>
      <c r="AP234" s="1827"/>
      <c r="AQ234" s="1827"/>
      <c r="AR234" s="1827"/>
      <c r="AS234" s="1827"/>
      <c r="AT234" s="1827"/>
      <c r="AU234" s="1827"/>
      <c r="AV234" s="1827"/>
      <c r="AW234" s="1827"/>
      <c r="AX234" s="1827"/>
      <c r="AY234" s="1827"/>
      <c r="AZ234" s="1827"/>
      <c r="BA234" s="1827"/>
      <c r="BB234" s="1827"/>
      <c r="BC234" s="1827"/>
      <c r="BD234" s="1827"/>
      <c r="BE234" s="1827"/>
      <c r="BF234" s="1827"/>
      <c r="BG234" s="1639"/>
    </row>
    <row customHeight="1" ht="11.25">
      <c r="A235" s="1170" t="s">
        <v>1270</v>
      </c>
      <c r="B235" s="1170"/>
      <c r="C235" s="1170"/>
      <c r="D235" s="1164"/>
      <c r="E235" s="1174"/>
      <c r="F235" s="1833"/>
      <c r="G235" s="1834"/>
      <c r="H235" s="2519" t="s">
        <v>394</v>
      </c>
      <c r="I235" s="2520"/>
      <c r="J235" s="2938"/>
      <c r="K235" s="2521"/>
      <c r="L235" s="2111"/>
      <c r="M235" s="2112"/>
      <c r="N235" s="2512"/>
      <c r="O235" s="2513">
        <v>1</v>
      </c>
      <c r="P235" s="2514" t="s">
        <v>19</v>
      </c>
      <c r="Q235" s="2517" t="s">
        <v>22</v>
      </c>
      <c r="R235" s="2517" t="s">
        <v>22</v>
      </c>
      <c r="S235" s="2517" t="s">
        <v>22</v>
      </c>
      <c r="T235" s="2517" t="s">
        <v>22</v>
      </c>
      <c r="U235" s="2517" t="s">
        <v>22</v>
      </c>
      <c r="V235" s="2517" t="s">
        <v>22</v>
      </c>
      <c r="W235" s="2517" t="s">
        <v>22</v>
      </c>
      <c r="X235" s="2517" t="s">
        <v>22</v>
      </c>
      <c r="Y235" s="2517"/>
      <c r="Z235" s="1179"/>
      <c r="AA235" s="1180"/>
      <c r="AB235" s="1180"/>
      <c r="AC235" s="1184"/>
      <c r="AD235" s="1184"/>
      <c r="AE235" s="1185"/>
      <c r="AF235" s="2510"/>
      <c r="AG235" s="2511"/>
      <c r="AH235" s="2511"/>
      <c r="AI235" s="2510"/>
      <c r="AJ235" s="2511"/>
      <c r="AK235" s="2511"/>
      <c r="AL235" s="1992"/>
      <c r="AM235" s="1827"/>
      <c r="AN235" s="1827"/>
      <c r="AO235" s="1827"/>
      <c r="AP235" s="1827"/>
      <c r="AQ235" s="1827"/>
      <c r="AR235" s="1827"/>
      <c r="AS235" s="1827"/>
      <c r="AT235" s="1827"/>
      <c r="AU235" s="1827"/>
      <c r="AV235" s="1827"/>
      <c r="AW235" s="1827"/>
      <c r="AX235" s="1827"/>
      <c r="AY235" s="1827"/>
      <c r="AZ235" s="1827"/>
      <c r="BA235" s="1827"/>
      <c r="BB235" s="1827"/>
      <c r="BC235" s="1827"/>
      <c r="BD235" s="1827"/>
      <c r="BE235" s="1827"/>
      <c r="BF235" s="1827"/>
      <c r="BG235" s="1639"/>
    </row>
    <row customHeight="1" ht="29.25">
      <c r="A236" s="1170" t="s">
        <v>1270</v>
      </c>
      <c r="B236" s="1170"/>
      <c r="C236" s="1170"/>
      <c r="D236" s="1164"/>
      <c r="E236" s="1174"/>
      <c r="F236" s="1833"/>
      <c r="G236" s="1834"/>
      <c r="H236" s="2519" t="s">
        <v>394</v>
      </c>
      <c r="I236" s="2520"/>
      <c r="J236" s="2938"/>
      <c r="K236" s="2521"/>
      <c r="L236" s="2111"/>
      <c r="M236" s="2112"/>
      <c r="N236" s="2512"/>
      <c r="O236" s="2513"/>
      <c r="P236" s="2515"/>
      <c r="Q236" s="2517"/>
      <c r="R236" s="2517"/>
      <c r="S236" s="2518"/>
      <c r="T236" s="2517"/>
      <c r="U236" s="2517"/>
      <c r="V236" s="2517"/>
      <c r="W236" s="2517"/>
      <c r="X236" s="2517"/>
      <c r="Y236" s="2517"/>
      <c r="Z236" s="1832"/>
      <c r="AA236" s="1798">
        <v>1</v>
      </c>
      <c r="AB236" s="1183" t="s">
        <v>1311</v>
      </c>
      <c r="AC236" s="1173">
        <v>482.16</v>
      </c>
      <c r="AD236" s="1183" t="str">
        <f>AB236</f>
        <v>      Амортизационные отчисления с выделением результатов переоценки основных средств и нематериальных активов</v>
      </c>
      <c r="AE236" s="1173">
        <v>482.16</v>
      </c>
      <c r="AF236" s="2510"/>
      <c r="AG236" s="2511"/>
      <c r="AH236" s="2511"/>
      <c r="AI236" s="2510"/>
      <c r="AJ236" s="2511"/>
      <c r="AK236" s="2511"/>
      <c r="AL236" s="1992"/>
      <c r="AM236" s="1827"/>
      <c r="AN236" s="1827"/>
      <c r="AO236" s="1827"/>
      <c r="AP236" s="1827"/>
      <c r="AQ236" s="1827"/>
      <c r="AR236" s="1827"/>
      <c r="AS236" s="1827"/>
      <c r="AT236" s="1827"/>
      <c r="AU236" s="1827"/>
      <c r="AV236" s="1827"/>
      <c r="AW236" s="1827"/>
      <c r="AX236" s="1827"/>
      <c r="AY236" s="1827"/>
      <c r="AZ236" s="1827"/>
      <c r="BA236" s="1827"/>
      <c r="BB236" s="1827"/>
      <c r="BC236" s="1827"/>
      <c r="BD236" s="1827"/>
      <c r="BE236" s="1827"/>
      <c r="BF236" s="1827"/>
      <c r="BG236" s="1639"/>
    </row>
    <row customHeight="1" ht="11.25">
      <c r="A237" s="1170" t="s">
        <v>1270</v>
      </c>
      <c r="B237" s="1170"/>
      <c r="C237" s="1170"/>
      <c r="D237" s="1164"/>
      <c r="E237" s="1174"/>
      <c r="F237" s="1834"/>
      <c r="G237" s="1834"/>
      <c r="H237" s="1834"/>
      <c r="I237" s="1834"/>
      <c r="J237" s="1834"/>
      <c r="K237" s="1834"/>
      <c r="L237" s="1834"/>
      <c r="M237" s="1834"/>
      <c r="N237" s="1834"/>
      <c r="O237" s="1834"/>
      <c r="P237" s="1834"/>
      <c r="Q237" s="1834"/>
      <c r="R237" s="1834"/>
      <c r="S237" s="1834"/>
      <c r="T237" s="1834"/>
      <c r="U237" s="1834"/>
      <c r="V237" s="1834"/>
      <c r="W237" s="1834"/>
      <c r="X237" s="1834"/>
      <c r="Y237" s="1834"/>
      <c r="Z237" s="687" t="s">
        <v>104</v>
      </c>
      <c r="AA237" s="1818" t="s">
        <v>103</v>
      </c>
      <c r="AB237" s="1183" t="s">
        <v>1313</v>
      </c>
      <c r="AC237" s="1173">
        <v>119463.43</v>
      </c>
      <c r="AD237" s="1183" t="str">
        <f>AB237</f>
        <v>  Кредиты</v>
      </c>
      <c r="AE237" s="1173">
        <v>119571.38</v>
      </c>
      <c r="AF237" s="1835"/>
      <c r="AG237" s="1763"/>
      <c r="AH237" s="1763"/>
      <c r="AI237" s="1835"/>
      <c r="AJ237" s="1763"/>
      <c r="AK237" s="1991"/>
      <c r="AL237" s="1992"/>
      <c r="AM237" s="1827"/>
      <c r="AN237" s="1827"/>
      <c r="AO237" s="1827"/>
      <c r="AP237" s="1827"/>
      <c r="AQ237" s="1827"/>
      <c r="AR237" s="1827"/>
      <c r="AS237" s="1827"/>
      <c r="AT237" s="1827"/>
      <c r="AU237" s="1827"/>
      <c r="AV237" s="1827"/>
      <c r="AW237" s="1827"/>
      <c r="AX237" s="1827"/>
      <c r="AY237" s="1827"/>
      <c r="AZ237" s="1827"/>
      <c r="BA237" s="1827"/>
      <c r="BB237" s="1827"/>
      <c r="BC237" s="1827"/>
      <c r="BD237" s="1827"/>
      <c r="BE237" s="1827"/>
      <c r="BF237" s="1827"/>
      <c r="BG237" s="1639"/>
    </row>
    <row customHeight="1" ht="11.25">
      <c r="A238" s="1170" t="s">
        <v>1270</v>
      </c>
      <c r="B238" s="1170"/>
      <c r="C238" s="1170"/>
      <c r="D238" s="1164"/>
      <c r="E238" s="1174"/>
      <c r="F238" s="1833"/>
      <c r="G238" s="1834"/>
      <c r="H238" s="2519" t="s">
        <v>394</v>
      </c>
      <c r="I238" s="2520"/>
      <c r="J238" s="2938"/>
      <c r="K238" s="2521"/>
      <c r="L238" s="2111"/>
      <c r="M238" s="2112"/>
      <c r="N238" s="2512"/>
      <c r="O238" s="2513"/>
      <c r="P238" s="2516"/>
      <c r="Q238" s="2517"/>
      <c r="R238" s="2517"/>
      <c r="S238" s="2518"/>
      <c r="T238" s="2517"/>
      <c r="U238" s="2517"/>
      <c r="V238" s="2517"/>
      <c r="W238" s="2517"/>
      <c r="X238" s="2517"/>
      <c r="Y238" s="2517"/>
      <c r="Z238" s="1179"/>
      <c r="AA238" s="1180"/>
      <c r="AB238" s="1245" t="s">
        <v>1307</v>
      </c>
      <c r="AC238" s="1184"/>
      <c r="AD238" s="1184"/>
      <c r="AE238" s="1186"/>
      <c r="AF238" s="2510"/>
      <c r="AG238" s="2511"/>
      <c r="AH238" s="2511"/>
      <c r="AI238" s="2510"/>
      <c r="AJ238" s="2511"/>
      <c r="AK238" s="2511"/>
      <c r="AL238" s="1992"/>
      <c r="AM238" s="1827"/>
      <c r="AN238" s="1827"/>
      <c r="AO238" s="1827"/>
      <c r="AP238" s="1827"/>
      <c r="AQ238" s="1827"/>
      <c r="AR238" s="1827"/>
      <c r="AS238" s="1827"/>
      <c r="AT238" s="1827"/>
      <c r="AU238" s="1827"/>
      <c r="AV238" s="1827"/>
      <c r="AW238" s="1827"/>
      <c r="AX238" s="1827"/>
      <c r="AY238" s="1827"/>
      <c r="AZ238" s="1827"/>
      <c r="BA238" s="1827"/>
      <c r="BB238" s="1827"/>
      <c r="BC238" s="1827"/>
      <c r="BD238" s="1827"/>
      <c r="BE238" s="1827"/>
      <c r="BF238" s="1827"/>
      <c r="BG238" s="1639"/>
    </row>
    <row customHeight="1" ht="11.25">
      <c r="A239" s="1170" t="s">
        <v>1270</v>
      </c>
      <c r="B239" s="1170"/>
      <c r="C239" s="1170"/>
      <c r="D239" s="1164"/>
      <c r="E239" s="1174"/>
      <c r="F239" s="1833"/>
      <c r="G239" s="1834"/>
      <c r="H239" s="2519" t="s">
        <v>394</v>
      </c>
      <c r="I239" s="2520"/>
      <c r="J239" s="2938"/>
      <c r="K239" s="2521"/>
      <c r="L239" s="2111"/>
      <c r="M239" s="2112"/>
      <c r="N239" s="1179"/>
      <c r="O239" s="1180"/>
      <c r="P239" s="1172" t="s">
        <v>1308</v>
      </c>
      <c r="Q239" s="1180"/>
      <c r="R239" s="1180"/>
      <c r="S239" s="1180"/>
      <c r="T239" s="1180"/>
      <c r="U239" s="1180"/>
      <c r="V239" s="1180"/>
      <c r="W239" s="1180"/>
      <c r="X239" s="1180"/>
      <c r="Y239" s="1180"/>
      <c r="Z239" s="1180"/>
      <c r="AA239" s="1180"/>
      <c r="AB239" s="1180"/>
      <c r="AC239" s="1180"/>
      <c r="AD239" s="1180"/>
      <c r="AE239" s="1187"/>
      <c r="AF239" s="2510"/>
      <c r="AG239" s="2511"/>
      <c r="AH239" s="2511"/>
      <c r="AI239" s="2510"/>
      <c r="AJ239" s="2511"/>
      <c r="AK239" s="2511"/>
      <c r="AL239" s="1992"/>
      <c r="AM239" s="1827"/>
      <c r="AN239" s="1827"/>
      <c r="AO239" s="1827"/>
      <c r="AP239" s="1827"/>
      <c r="AQ239" s="1827"/>
      <c r="AR239" s="1827"/>
      <c r="AS239" s="1827"/>
      <c r="AT239" s="1827"/>
      <c r="AU239" s="1827"/>
      <c r="AV239" s="1827"/>
      <c r="AW239" s="1827"/>
      <c r="AX239" s="1827"/>
      <c r="AY239" s="1827"/>
      <c r="AZ239" s="1827"/>
      <c r="BA239" s="1827"/>
      <c r="BB239" s="1827"/>
      <c r="BC239" s="1827"/>
      <c r="BD239" s="1827"/>
      <c r="BE239" s="1827"/>
      <c r="BF239" s="1827"/>
      <c r="BG239" s="1639"/>
    </row>
    <row customHeight="1" ht="11.25">
      <c r="A240" s="1170" t="s">
        <v>1270</v>
      </c>
      <c r="B240" s="1170" t="s">
        <v>1323</v>
      </c>
      <c r="C240" s="1170"/>
      <c r="D240" s="1164"/>
      <c r="E240" s="1174"/>
      <c r="F240" s="1833"/>
      <c r="G240" s="687" t="s">
        <v>104</v>
      </c>
      <c r="H240" s="2519" t="s">
        <v>103</v>
      </c>
      <c r="I240" s="2520" t="s">
        <v>1324</v>
      </c>
      <c r="J240" s="2489" t="s">
        <v>1325</v>
      </c>
      <c r="K240" s="2521"/>
      <c r="L240" s="2111" t="s">
        <v>19</v>
      </c>
      <c r="M240" s="2112"/>
      <c r="N240" s="1990"/>
      <c r="O240" s="1181" t="s">
        <v>394</v>
      </c>
      <c r="P240" s="1182"/>
      <c r="Q240" s="1182"/>
      <c r="R240" s="1182"/>
      <c r="S240" s="1182"/>
      <c r="T240" s="1182"/>
      <c r="U240" s="1182"/>
      <c r="V240" s="1182"/>
      <c r="W240" s="1182"/>
      <c r="X240" s="1182"/>
      <c r="Y240" s="1182"/>
      <c r="Z240" s="1182"/>
      <c r="AA240" s="1182"/>
      <c r="AB240" s="1182"/>
      <c r="AC240" s="1182"/>
      <c r="AD240" s="1182"/>
      <c r="AE240" s="1182"/>
      <c r="AF240" s="2510">
        <v>2</v>
      </c>
      <c r="AG240" s="2511" t="s">
        <v>1304</v>
      </c>
      <c r="AH240" s="2511" t="s">
        <v>1326</v>
      </c>
      <c r="AI240" s="2510">
        <v>2</v>
      </c>
      <c r="AJ240" s="2511" t="s">
        <v>1304</v>
      </c>
      <c r="AK240" s="2511" t="s">
        <v>1326</v>
      </c>
      <c r="AL240" s="1992"/>
      <c r="AM240" s="1827"/>
      <c r="AN240" s="1827"/>
      <c r="AO240" s="1827"/>
      <c r="AP240" s="1827"/>
      <c r="AQ240" s="1827"/>
      <c r="AR240" s="1827"/>
      <c r="AS240" s="1827"/>
      <c r="AT240" s="1827"/>
      <c r="AU240" s="1827"/>
      <c r="AV240" s="1827"/>
      <c r="AW240" s="1827"/>
      <c r="AX240" s="1827"/>
      <c r="AY240" s="1827"/>
      <c r="AZ240" s="1827"/>
      <c r="BA240" s="1827"/>
      <c r="BB240" s="1827"/>
      <c r="BC240" s="1827"/>
      <c r="BD240" s="1827"/>
      <c r="BE240" s="1827"/>
      <c r="BF240" s="1827"/>
      <c r="BG240" s="1639"/>
    </row>
    <row customHeight="1" ht="11.25">
      <c r="A241" s="1170" t="s">
        <v>1270</v>
      </c>
      <c r="B241" s="1170"/>
      <c r="C241" s="1170"/>
      <c r="D241" s="1164"/>
      <c r="E241" s="1174"/>
      <c r="F241" s="1833"/>
      <c r="G241" s="1834"/>
      <c r="H241" s="2519" t="s">
        <v>119</v>
      </c>
      <c r="I241" s="2520"/>
      <c r="J241" s="2489"/>
      <c r="K241" s="2521"/>
      <c r="L241" s="2111"/>
      <c r="M241" s="2112"/>
      <c r="N241" s="2512"/>
      <c r="O241" s="2513">
        <v>1</v>
      </c>
      <c r="P241" s="2514" t="s">
        <v>19</v>
      </c>
      <c r="Q241" s="2517" t="s">
        <v>22</v>
      </c>
      <c r="R241" s="2517" t="s">
        <v>22</v>
      </c>
      <c r="S241" s="2517" t="s">
        <v>22</v>
      </c>
      <c r="T241" s="2517" t="s">
        <v>22</v>
      </c>
      <c r="U241" s="2517" t="s">
        <v>22</v>
      </c>
      <c r="V241" s="2517" t="s">
        <v>22</v>
      </c>
      <c r="W241" s="2517" t="s">
        <v>22</v>
      </c>
      <c r="X241" s="2517" t="s">
        <v>22</v>
      </c>
      <c r="Y241" s="2517"/>
      <c r="Z241" s="1179"/>
      <c r="AA241" s="1180"/>
      <c r="AB241" s="1180"/>
      <c r="AC241" s="1184"/>
      <c r="AD241" s="1184"/>
      <c r="AE241" s="1185"/>
      <c r="AF241" s="2510"/>
      <c r="AG241" s="2511"/>
      <c r="AH241" s="2511"/>
      <c r="AI241" s="2510"/>
      <c r="AJ241" s="2511"/>
      <c r="AK241" s="2511"/>
      <c r="AL241" s="1992"/>
      <c r="AM241" s="1827"/>
      <c r="AN241" s="1827"/>
      <c r="AO241" s="1827"/>
      <c r="AP241" s="1827"/>
      <c r="AQ241" s="1827"/>
      <c r="AR241" s="1827"/>
      <c r="AS241" s="1827"/>
      <c r="AT241" s="1827"/>
      <c r="AU241" s="1827"/>
      <c r="AV241" s="1827"/>
      <c r="AW241" s="1827"/>
      <c r="AX241" s="1827"/>
      <c r="AY241" s="1827"/>
      <c r="AZ241" s="1827"/>
      <c r="BA241" s="1827"/>
      <c r="BB241" s="1827"/>
      <c r="BC241" s="1827"/>
      <c r="BD241" s="1827"/>
      <c r="BE241" s="1827"/>
      <c r="BF241" s="1827"/>
      <c r="BG241" s="1639"/>
    </row>
    <row customHeight="1" ht="29.25">
      <c r="A242" s="1170" t="s">
        <v>1270</v>
      </c>
      <c r="B242" s="1170"/>
      <c r="C242" s="1170"/>
      <c r="D242" s="1164"/>
      <c r="E242" s="1174"/>
      <c r="F242" s="1833"/>
      <c r="G242" s="1834"/>
      <c r="H242" s="2519" t="s">
        <v>119</v>
      </c>
      <c r="I242" s="2520"/>
      <c r="J242" s="2489"/>
      <c r="K242" s="2521"/>
      <c r="L242" s="2111"/>
      <c r="M242" s="2112"/>
      <c r="N242" s="2512"/>
      <c r="O242" s="2513"/>
      <c r="P242" s="2515"/>
      <c r="Q242" s="2517"/>
      <c r="R242" s="2517"/>
      <c r="S242" s="2518"/>
      <c r="T242" s="2517"/>
      <c r="U242" s="2517"/>
      <c r="V242" s="2517"/>
      <c r="W242" s="2517"/>
      <c r="X242" s="2517"/>
      <c r="Y242" s="2517"/>
      <c r="Z242" s="1832"/>
      <c r="AA242" s="1798">
        <v>1</v>
      </c>
      <c r="AB242" s="1183" t="s">
        <v>1311</v>
      </c>
      <c r="AC242" s="1173">
        <v>58.58</v>
      </c>
      <c r="AD242" s="1183" t="str">
        <f>AB242</f>
        <v>      Амортизационные отчисления с выделением результатов переоценки основных средств и нематериальных активов</v>
      </c>
      <c r="AE242" s="1173">
        <v>58.58</v>
      </c>
      <c r="AF242" s="2510"/>
      <c r="AG242" s="2511"/>
      <c r="AH242" s="2511"/>
      <c r="AI242" s="2510"/>
      <c r="AJ242" s="2511"/>
      <c r="AK242" s="2511"/>
      <c r="AL242" s="1992"/>
      <c r="AM242" s="1827"/>
      <c r="AN242" s="1827"/>
      <c r="AO242" s="1827"/>
      <c r="AP242" s="1827"/>
      <c r="AQ242" s="1827"/>
      <c r="AR242" s="1827"/>
      <c r="AS242" s="1827"/>
      <c r="AT242" s="1827"/>
      <c r="AU242" s="1827"/>
      <c r="AV242" s="1827"/>
      <c r="AW242" s="1827"/>
      <c r="AX242" s="1827"/>
      <c r="AY242" s="1827"/>
      <c r="AZ242" s="1827"/>
      <c r="BA242" s="1827"/>
      <c r="BB242" s="1827"/>
      <c r="BC242" s="1827"/>
      <c r="BD242" s="1827"/>
      <c r="BE242" s="1827"/>
      <c r="BF242" s="1827"/>
      <c r="BG242" s="1639"/>
    </row>
    <row customHeight="1" ht="11.25">
      <c r="A243" s="1170" t="s">
        <v>1270</v>
      </c>
      <c r="B243" s="1170"/>
      <c r="C243" s="1170"/>
      <c r="D243" s="1164"/>
      <c r="E243" s="1174"/>
      <c r="F243" s="1834"/>
      <c r="G243" s="1834"/>
      <c r="H243" s="1834"/>
      <c r="I243" s="1834"/>
      <c r="J243" s="1834"/>
      <c r="K243" s="1834"/>
      <c r="L243" s="1834"/>
      <c r="M243" s="1834"/>
      <c r="N243" s="1834"/>
      <c r="O243" s="1834"/>
      <c r="P243" s="1834"/>
      <c r="Q243" s="1834"/>
      <c r="R243" s="1834"/>
      <c r="S243" s="1834"/>
      <c r="T243" s="1834"/>
      <c r="U243" s="1834"/>
      <c r="V243" s="1834"/>
      <c r="W243" s="1834"/>
      <c r="X243" s="1834"/>
      <c r="Y243" s="1834"/>
      <c r="Z243" s="687" t="s">
        <v>104</v>
      </c>
      <c r="AA243" s="1818" t="s">
        <v>103</v>
      </c>
      <c r="AB243" s="1183" t="s">
        <v>1313</v>
      </c>
      <c r="AC243" s="1173">
        <v>14513.28</v>
      </c>
      <c r="AD243" s="1183" t="str">
        <f>AB243</f>
        <v>  Кредиты</v>
      </c>
      <c r="AE243" s="1173">
        <v>14513.28</v>
      </c>
      <c r="AF243" s="1835"/>
      <c r="AG243" s="1763"/>
      <c r="AH243" s="1763"/>
      <c r="AI243" s="1835"/>
      <c r="AJ243" s="1763"/>
      <c r="AK243" s="1991"/>
      <c r="AL243" s="1992"/>
      <c r="AM243" s="1827"/>
      <c r="AN243" s="1827"/>
      <c r="AO243" s="1827"/>
      <c r="AP243" s="1827"/>
      <c r="AQ243" s="1827"/>
      <c r="AR243" s="1827"/>
      <c r="AS243" s="1827"/>
      <c r="AT243" s="1827"/>
      <c r="AU243" s="1827"/>
      <c r="AV243" s="1827"/>
      <c r="AW243" s="1827"/>
      <c r="AX243" s="1827"/>
      <c r="AY243" s="1827"/>
      <c r="AZ243" s="1827"/>
      <c r="BA243" s="1827"/>
      <c r="BB243" s="1827"/>
      <c r="BC243" s="1827"/>
      <c r="BD243" s="1827"/>
      <c r="BE243" s="1827"/>
      <c r="BF243" s="1827"/>
      <c r="BG243" s="1639"/>
    </row>
    <row customHeight="1" ht="11.25">
      <c r="A244" s="1170" t="s">
        <v>1270</v>
      </c>
      <c r="B244" s="1170"/>
      <c r="C244" s="1170"/>
      <c r="D244" s="1164"/>
      <c r="E244" s="1174"/>
      <c r="F244" s="1833"/>
      <c r="G244" s="1834"/>
      <c r="H244" s="2519" t="s">
        <v>119</v>
      </c>
      <c r="I244" s="2520"/>
      <c r="J244" s="2489"/>
      <c r="K244" s="2521"/>
      <c r="L244" s="2111"/>
      <c r="M244" s="2112"/>
      <c r="N244" s="2512"/>
      <c r="O244" s="2513"/>
      <c r="P244" s="2516"/>
      <c r="Q244" s="2517"/>
      <c r="R244" s="2517"/>
      <c r="S244" s="2518"/>
      <c r="T244" s="2517"/>
      <c r="U244" s="2517"/>
      <c r="V244" s="2517"/>
      <c r="W244" s="2517"/>
      <c r="X244" s="2517"/>
      <c r="Y244" s="2517"/>
      <c r="Z244" s="1179"/>
      <c r="AA244" s="1180"/>
      <c r="AB244" s="1245" t="s">
        <v>1307</v>
      </c>
      <c r="AC244" s="1184"/>
      <c r="AD244" s="1184"/>
      <c r="AE244" s="1186"/>
      <c r="AF244" s="2510"/>
      <c r="AG244" s="2511"/>
      <c r="AH244" s="2511"/>
      <c r="AI244" s="2510"/>
      <c r="AJ244" s="2511"/>
      <c r="AK244" s="2511"/>
      <c r="AL244" s="1992"/>
      <c r="AM244" s="1827"/>
      <c r="AN244" s="1827"/>
      <c r="AO244" s="1827"/>
      <c r="AP244" s="1827"/>
      <c r="AQ244" s="1827"/>
      <c r="AR244" s="1827"/>
      <c r="AS244" s="1827"/>
      <c r="AT244" s="1827"/>
      <c r="AU244" s="1827"/>
      <c r="AV244" s="1827"/>
      <c r="AW244" s="1827"/>
      <c r="AX244" s="1827"/>
      <c r="AY244" s="1827"/>
      <c r="AZ244" s="1827"/>
      <c r="BA244" s="1827"/>
      <c r="BB244" s="1827"/>
      <c r="BC244" s="1827"/>
      <c r="BD244" s="1827"/>
      <c r="BE244" s="1827"/>
      <c r="BF244" s="1827"/>
      <c r="BG244" s="1639"/>
    </row>
    <row customHeight="1" ht="11.25">
      <c r="A245" s="1170" t="s">
        <v>1270</v>
      </c>
      <c r="B245" s="1170"/>
      <c r="C245" s="1170"/>
      <c r="D245" s="1164"/>
      <c r="E245" s="1174"/>
      <c r="F245" s="1833"/>
      <c r="G245" s="1834"/>
      <c r="H245" s="2519" t="s">
        <v>119</v>
      </c>
      <c r="I245" s="2520"/>
      <c r="J245" s="2489"/>
      <c r="K245" s="2521"/>
      <c r="L245" s="2111"/>
      <c r="M245" s="2112"/>
      <c r="N245" s="1179"/>
      <c r="O245" s="1180"/>
      <c r="P245" s="1172" t="s">
        <v>1308</v>
      </c>
      <c r="Q245" s="1180"/>
      <c r="R245" s="1180"/>
      <c r="S245" s="1180"/>
      <c r="T245" s="1180"/>
      <c r="U245" s="1180"/>
      <c r="V245" s="1180"/>
      <c r="W245" s="1180"/>
      <c r="X245" s="1180"/>
      <c r="Y245" s="1180"/>
      <c r="Z245" s="1180"/>
      <c r="AA245" s="1180"/>
      <c r="AB245" s="1180"/>
      <c r="AC245" s="1180"/>
      <c r="AD245" s="1180"/>
      <c r="AE245" s="1187"/>
      <c r="AF245" s="2510"/>
      <c r="AG245" s="2511"/>
      <c r="AH245" s="2511"/>
      <c r="AI245" s="2510"/>
      <c r="AJ245" s="2511"/>
      <c r="AK245" s="2511"/>
      <c r="AL245" s="1992"/>
      <c r="AM245" s="1827"/>
      <c r="AN245" s="1827"/>
      <c r="AO245" s="1827"/>
      <c r="AP245" s="1827"/>
      <c r="AQ245" s="1827"/>
      <c r="AR245" s="1827"/>
      <c r="AS245" s="1827"/>
      <c r="AT245" s="1827"/>
      <c r="AU245" s="1827"/>
      <c r="AV245" s="1827"/>
      <c r="AW245" s="1827"/>
      <c r="AX245" s="1827"/>
      <c r="AY245" s="1827"/>
      <c r="AZ245" s="1827"/>
      <c r="BA245" s="1827"/>
      <c r="BB245" s="1827"/>
      <c r="BC245" s="1827"/>
      <c r="BD245" s="1827"/>
      <c r="BE245" s="1827"/>
      <c r="BF245" s="1827"/>
      <c r="BG245" s="1639"/>
    </row>
    <row customHeight="1" ht="11.25">
      <c r="A246" s="1170" t="s">
        <v>1270</v>
      </c>
      <c r="B246" s="1170" t="s">
        <v>1323</v>
      </c>
      <c r="C246" s="1170"/>
      <c r="D246" s="1164"/>
      <c r="E246" s="1174"/>
      <c r="F246" s="1833"/>
      <c r="G246" s="687" t="s">
        <v>104</v>
      </c>
      <c r="H246" s="2519" t="s">
        <v>90</v>
      </c>
      <c r="I246" s="2520" t="s">
        <v>1324</v>
      </c>
      <c r="J246" s="2489" t="s">
        <v>1325</v>
      </c>
      <c r="K246" s="2521"/>
      <c r="L246" s="2111" t="s">
        <v>19</v>
      </c>
      <c r="M246" s="2112"/>
      <c r="N246" s="1990"/>
      <c r="O246" s="1181" t="s">
        <v>394</v>
      </c>
      <c r="P246" s="1182"/>
      <c r="Q246" s="1182"/>
      <c r="R246" s="1182"/>
      <c r="S246" s="1182"/>
      <c r="T246" s="1182"/>
      <c r="U246" s="1182"/>
      <c r="V246" s="1182"/>
      <c r="W246" s="1182"/>
      <c r="X246" s="1182"/>
      <c r="Y246" s="1182"/>
      <c r="Z246" s="1182"/>
      <c r="AA246" s="1182"/>
      <c r="AB246" s="1182"/>
      <c r="AC246" s="1182"/>
      <c r="AD246" s="1182"/>
      <c r="AE246" s="1182"/>
      <c r="AF246" s="2510">
        <v>3</v>
      </c>
      <c r="AG246" s="2511" t="s">
        <v>1304</v>
      </c>
      <c r="AH246" s="2511" t="s">
        <v>1327</v>
      </c>
      <c r="AI246" s="2510">
        <v>3</v>
      </c>
      <c r="AJ246" s="2511" t="s">
        <v>1304</v>
      </c>
      <c r="AK246" s="2511" t="s">
        <v>1327</v>
      </c>
      <c r="AL246" s="1992"/>
      <c r="AM246" s="1827"/>
      <c r="AN246" s="1827"/>
      <c r="AO246" s="1827"/>
      <c r="AP246" s="1827"/>
      <c r="AQ246" s="1827"/>
      <c r="AR246" s="1827"/>
      <c r="AS246" s="1827"/>
      <c r="AT246" s="1827"/>
      <c r="AU246" s="1827"/>
      <c r="AV246" s="1827"/>
      <c r="AW246" s="1827"/>
      <c r="AX246" s="1827"/>
      <c r="AY246" s="1827"/>
      <c r="AZ246" s="1827"/>
      <c r="BA246" s="1827"/>
      <c r="BB246" s="1827"/>
      <c r="BC246" s="1827"/>
      <c r="BD246" s="1827"/>
      <c r="BE246" s="1827"/>
      <c r="BF246" s="1827"/>
      <c r="BG246" s="1639"/>
    </row>
    <row customHeight="1" ht="11.25">
      <c r="A247" s="1170" t="s">
        <v>1270</v>
      </c>
      <c r="B247" s="1170"/>
      <c r="C247" s="1170"/>
      <c r="D247" s="1164"/>
      <c r="E247" s="1174"/>
      <c r="F247" s="1833"/>
      <c r="G247" s="1834"/>
      <c r="H247" s="2519" t="s">
        <v>103</v>
      </c>
      <c r="I247" s="2520"/>
      <c r="J247" s="2489"/>
      <c r="K247" s="2521"/>
      <c r="L247" s="2111"/>
      <c r="M247" s="2112"/>
      <c r="N247" s="2512"/>
      <c r="O247" s="2513">
        <v>1</v>
      </c>
      <c r="P247" s="2514" t="s">
        <v>19</v>
      </c>
      <c r="Q247" s="2517" t="s">
        <v>22</v>
      </c>
      <c r="R247" s="2517" t="s">
        <v>22</v>
      </c>
      <c r="S247" s="2517" t="s">
        <v>22</v>
      </c>
      <c r="T247" s="2517" t="s">
        <v>22</v>
      </c>
      <c r="U247" s="2517" t="s">
        <v>22</v>
      </c>
      <c r="V247" s="2517" t="s">
        <v>22</v>
      </c>
      <c r="W247" s="2517" t="s">
        <v>22</v>
      </c>
      <c r="X247" s="2517" t="s">
        <v>22</v>
      </c>
      <c r="Y247" s="2517"/>
      <c r="Z247" s="1179"/>
      <c r="AA247" s="1180"/>
      <c r="AB247" s="1180"/>
      <c r="AC247" s="1184"/>
      <c r="AD247" s="1184"/>
      <c r="AE247" s="1185"/>
      <c r="AF247" s="2510"/>
      <c r="AG247" s="2511"/>
      <c r="AH247" s="2511"/>
      <c r="AI247" s="2510"/>
      <c r="AJ247" s="2511"/>
      <c r="AK247" s="2511"/>
      <c r="AL247" s="1992"/>
      <c r="AM247" s="1827"/>
      <c r="AN247" s="1827"/>
      <c r="AO247" s="1827"/>
      <c r="AP247" s="1827"/>
      <c r="AQ247" s="1827"/>
      <c r="AR247" s="1827"/>
      <c r="AS247" s="1827"/>
      <c r="AT247" s="1827"/>
      <c r="AU247" s="1827"/>
      <c r="AV247" s="1827"/>
      <c r="AW247" s="1827"/>
      <c r="AX247" s="1827"/>
      <c r="AY247" s="1827"/>
      <c r="AZ247" s="1827"/>
      <c r="BA247" s="1827"/>
      <c r="BB247" s="1827"/>
      <c r="BC247" s="1827"/>
      <c r="BD247" s="1827"/>
      <c r="BE247" s="1827"/>
      <c r="BF247" s="1827"/>
      <c r="BG247" s="1639"/>
    </row>
    <row customHeight="1" ht="33">
      <c r="A248" s="1170" t="s">
        <v>1270</v>
      </c>
      <c r="B248" s="1170"/>
      <c r="C248" s="1170"/>
      <c r="D248" s="1164"/>
      <c r="E248" s="1174"/>
      <c r="F248" s="1833"/>
      <c r="G248" s="1834"/>
      <c r="H248" s="2519" t="s">
        <v>103</v>
      </c>
      <c r="I248" s="2520"/>
      <c r="J248" s="2489"/>
      <c r="K248" s="2521"/>
      <c r="L248" s="2111"/>
      <c r="M248" s="2112"/>
      <c r="N248" s="2512"/>
      <c r="O248" s="2513"/>
      <c r="P248" s="2515"/>
      <c r="Q248" s="2517"/>
      <c r="R248" s="2517"/>
      <c r="S248" s="2518"/>
      <c r="T248" s="2517"/>
      <c r="U248" s="2517"/>
      <c r="V248" s="2517"/>
      <c r="W248" s="2517"/>
      <c r="X248" s="2517"/>
      <c r="Y248" s="2517"/>
      <c r="Z248" s="1832"/>
      <c r="AA248" s="1798">
        <v>1</v>
      </c>
      <c r="AB248" s="1183" t="s">
        <v>1311</v>
      </c>
      <c r="AC248" s="1173">
        <v>75.76</v>
      </c>
      <c r="AD248" s="1183" t="str">
        <f>AB248</f>
        <v>      Амортизационные отчисления с выделением результатов переоценки основных средств и нематериальных активов</v>
      </c>
      <c r="AE248" s="1173">
        <v>75.76</v>
      </c>
      <c r="AF248" s="2510"/>
      <c r="AG248" s="2511"/>
      <c r="AH248" s="2511"/>
      <c r="AI248" s="2510"/>
      <c r="AJ248" s="2511"/>
      <c r="AK248" s="2511"/>
      <c r="AL248" s="1992"/>
      <c r="AM248" s="1827"/>
      <c r="AN248" s="1827"/>
      <c r="AO248" s="1827"/>
      <c r="AP248" s="1827"/>
      <c r="AQ248" s="1827"/>
      <c r="AR248" s="1827"/>
      <c r="AS248" s="1827"/>
      <c r="AT248" s="1827"/>
      <c r="AU248" s="1827"/>
      <c r="AV248" s="1827"/>
      <c r="AW248" s="1827"/>
      <c r="AX248" s="1827"/>
      <c r="AY248" s="1827"/>
      <c r="AZ248" s="1827"/>
      <c r="BA248" s="1827"/>
      <c r="BB248" s="1827"/>
      <c r="BC248" s="1827"/>
      <c r="BD248" s="1827"/>
      <c r="BE248" s="1827"/>
      <c r="BF248" s="1827"/>
      <c r="BG248" s="1639"/>
    </row>
    <row customHeight="1" ht="19.5">
      <c r="A249" s="1170" t="s">
        <v>1270</v>
      </c>
      <c r="B249" s="1170"/>
      <c r="C249" s="1170"/>
      <c r="D249" s="1164"/>
      <c r="E249" s="1174"/>
      <c r="F249" s="1834"/>
      <c r="G249" s="1834"/>
      <c r="H249" s="1834"/>
      <c r="I249" s="1834"/>
      <c r="J249" s="1834"/>
      <c r="K249" s="1834"/>
      <c r="L249" s="1834"/>
      <c r="M249" s="1834"/>
      <c r="N249" s="1834"/>
      <c r="O249" s="1834"/>
      <c r="P249" s="1834"/>
      <c r="Q249" s="1834"/>
      <c r="R249" s="1834"/>
      <c r="S249" s="1834"/>
      <c r="T249" s="1834"/>
      <c r="U249" s="1834"/>
      <c r="V249" s="1834"/>
      <c r="W249" s="1834"/>
      <c r="X249" s="1834"/>
      <c r="Y249" s="1834"/>
      <c r="Z249" s="687" t="s">
        <v>104</v>
      </c>
      <c r="AA249" s="1818" t="s">
        <v>103</v>
      </c>
      <c r="AB249" s="1183" t="s">
        <v>1313</v>
      </c>
      <c r="AC249" s="1173">
        <v>18770.83</v>
      </c>
      <c r="AD249" s="1183" t="str">
        <f>AB249</f>
        <v>  Кредиты</v>
      </c>
      <c r="AE249" s="1173">
        <v>18202.01</v>
      </c>
      <c r="AF249" s="1835"/>
      <c r="AG249" s="1763"/>
      <c r="AH249" s="1763"/>
      <c r="AI249" s="1835"/>
      <c r="AJ249" s="1763"/>
      <c r="AK249" s="1991"/>
      <c r="AL249" s="1992"/>
      <c r="AM249" s="1827"/>
      <c r="AN249" s="1827"/>
      <c r="AO249" s="1827"/>
      <c r="AP249" s="1827"/>
      <c r="AQ249" s="1827"/>
      <c r="AR249" s="1827"/>
      <c r="AS249" s="1827"/>
      <c r="AT249" s="1827"/>
      <c r="AU249" s="1827"/>
      <c r="AV249" s="1827"/>
      <c r="AW249" s="1827"/>
      <c r="AX249" s="1827"/>
      <c r="AY249" s="1827"/>
      <c r="AZ249" s="1827"/>
      <c r="BA249" s="1827"/>
      <c r="BB249" s="1827"/>
      <c r="BC249" s="1827"/>
      <c r="BD249" s="1827"/>
      <c r="BE249" s="1827"/>
      <c r="BF249" s="1827"/>
      <c r="BG249" s="1639"/>
    </row>
    <row customHeight="1" ht="11.25">
      <c r="A250" s="1170" t="s">
        <v>1270</v>
      </c>
      <c r="B250" s="1170"/>
      <c r="C250" s="1170"/>
      <c r="D250" s="1164"/>
      <c r="E250" s="1174"/>
      <c r="F250" s="1833"/>
      <c r="G250" s="1834"/>
      <c r="H250" s="2519" t="s">
        <v>103</v>
      </c>
      <c r="I250" s="2520"/>
      <c r="J250" s="2489"/>
      <c r="K250" s="2521"/>
      <c r="L250" s="2111"/>
      <c r="M250" s="2112"/>
      <c r="N250" s="2512"/>
      <c r="O250" s="2513"/>
      <c r="P250" s="2516"/>
      <c r="Q250" s="2517"/>
      <c r="R250" s="2517"/>
      <c r="S250" s="2518"/>
      <c r="T250" s="2517"/>
      <c r="U250" s="2517"/>
      <c r="V250" s="2517"/>
      <c r="W250" s="2517"/>
      <c r="X250" s="2517"/>
      <c r="Y250" s="2517"/>
      <c r="Z250" s="1179"/>
      <c r="AA250" s="1180"/>
      <c r="AB250" s="1245" t="s">
        <v>1307</v>
      </c>
      <c r="AC250" s="1184"/>
      <c r="AD250" s="1184"/>
      <c r="AE250" s="1186"/>
      <c r="AF250" s="2510"/>
      <c r="AG250" s="2511"/>
      <c r="AH250" s="2511"/>
      <c r="AI250" s="2510"/>
      <c r="AJ250" s="2511"/>
      <c r="AK250" s="2511"/>
      <c r="AL250" s="1992"/>
      <c r="AM250" s="1827"/>
      <c r="AN250" s="1827"/>
      <c r="AO250" s="1827"/>
      <c r="AP250" s="1827"/>
      <c r="AQ250" s="1827"/>
      <c r="AR250" s="1827"/>
      <c r="AS250" s="1827"/>
      <c r="AT250" s="1827"/>
      <c r="AU250" s="1827"/>
      <c r="AV250" s="1827"/>
      <c r="AW250" s="1827"/>
      <c r="AX250" s="1827"/>
      <c r="AY250" s="1827"/>
      <c r="AZ250" s="1827"/>
      <c r="BA250" s="1827"/>
      <c r="BB250" s="1827"/>
      <c r="BC250" s="1827"/>
      <c r="BD250" s="1827"/>
      <c r="BE250" s="1827"/>
      <c r="BF250" s="1827"/>
      <c r="BG250" s="1639"/>
    </row>
    <row customHeight="1" ht="11.25">
      <c r="A251" s="1170" t="s">
        <v>1270</v>
      </c>
      <c r="B251" s="1170"/>
      <c r="C251" s="1170"/>
      <c r="D251" s="1164"/>
      <c r="E251" s="1174"/>
      <c r="F251" s="1833"/>
      <c r="G251" s="1834"/>
      <c r="H251" s="2519" t="s">
        <v>103</v>
      </c>
      <c r="I251" s="2520"/>
      <c r="J251" s="2489"/>
      <c r="K251" s="2521"/>
      <c r="L251" s="2111"/>
      <c r="M251" s="2112"/>
      <c r="N251" s="1179"/>
      <c r="O251" s="1180"/>
      <c r="P251" s="1172" t="s">
        <v>1308</v>
      </c>
      <c r="Q251" s="1180"/>
      <c r="R251" s="1180"/>
      <c r="S251" s="1180"/>
      <c r="T251" s="1180"/>
      <c r="U251" s="1180"/>
      <c r="V251" s="1180"/>
      <c r="W251" s="1180"/>
      <c r="X251" s="1180"/>
      <c r="Y251" s="1180"/>
      <c r="Z251" s="1180"/>
      <c r="AA251" s="1180"/>
      <c r="AB251" s="1180"/>
      <c r="AC251" s="1180"/>
      <c r="AD251" s="1180"/>
      <c r="AE251" s="1187"/>
      <c r="AF251" s="2510"/>
      <c r="AG251" s="2511"/>
      <c r="AH251" s="2511"/>
      <c r="AI251" s="2510"/>
      <c r="AJ251" s="2511"/>
      <c r="AK251" s="2511"/>
      <c r="AL251" s="1992"/>
      <c r="AM251" s="1827"/>
      <c r="AN251" s="1827"/>
      <c r="AO251" s="1827"/>
      <c r="AP251" s="1827"/>
      <c r="AQ251" s="1827"/>
      <c r="AR251" s="1827"/>
      <c r="AS251" s="1827"/>
      <c r="AT251" s="1827"/>
      <c r="AU251" s="1827"/>
      <c r="AV251" s="1827"/>
      <c r="AW251" s="1827"/>
      <c r="AX251" s="1827"/>
      <c r="AY251" s="1827"/>
      <c r="AZ251" s="1827"/>
      <c r="BA251" s="1827"/>
      <c r="BB251" s="1827"/>
      <c r="BC251" s="1827"/>
      <c r="BD251" s="1827"/>
      <c r="BE251" s="1827"/>
      <c r="BF251" s="1827"/>
      <c r="BG251" s="1639"/>
    </row>
    <row customHeight="1" ht="12">
      <c r="A252" s="1170" t="s">
        <v>1270</v>
      </c>
      <c r="B252" s="1170"/>
      <c r="C252" s="1170"/>
      <c r="D252" s="1164"/>
      <c r="E252" s="1174"/>
      <c r="F252" s="2541"/>
      <c r="G252" s="1194"/>
      <c r="H252" s="1194"/>
      <c r="I252" s="2539" t="s">
        <v>1321</v>
      </c>
      <c r="J252" s="2539"/>
      <c r="K252" s="2539"/>
      <c r="L252" s="1177"/>
      <c r="M252" s="1177"/>
      <c r="N252" s="1178"/>
      <c r="O252" s="1178"/>
      <c r="P252" s="1178"/>
      <c r="Q252" s="1178"/>
      <c r="R252" s="1178"/>
      <c r="S252" s="1178"/>
      <c r="T252" s="1178"/>
      <c r="U252" s="1178"/>
      <c r="V252" s="1178"/>
      <c r="W252" s="1178"/>
      <c r="X252" s="1178"/>
      <c r="Y252" s="1178"/>
      <c r="Z252" s="1178"/>
      <c r="AA252" s="1178"/>
      <c r="AB252" s="1178"/>
      <c r="AC252" s="1178"/>
      <c r="AD252" s="1178"/>
      <c r="AE252" s="1178"/>
      <c r="AF252" s="1178"/>
      <c r="AG252" s="1177"/>
      <c r="AH252" s="1177"/>
      <c r="AI252" s="1178"/>
      <c r="AJ252" s="1177"/>
      <c r="AK252" s="1178"/>
      <c r="AL252" s="1992"/>
      <c r="AM252" s="1827"/>
      <c r="AN252" s="1827"/>
      <c r="AO252" s="1827"/>
      <c r="AP252" s="1827"/>
      <c r="AQ252" s="1827"/>
      <c r="AR252" s="1827"/>
      <c r="AS252" s="1827"/>
      <c r="AT252" s="1827"/>
      <c r="AU252" s="1827"/>
      <c r="AV252" s="1827"/>
      <c r="AW252" s="1827"/>
      <c r="AX252" s="1827"/>
      <c r="AY252" s="1827"/>
      <c r="AZ252" s="1827"/>
      <c r="BA252" s="1827"/>
      <c r="BB252" s="1827"/>
      <c r="BC252" s="1827"/>
      <c r="BD252" s="1827"/>
      <c r="BE252" s="1827"/>
      <c r="BF252" s="1827"/>
      <c r="BG252" s="1639"/>
    </row>
    <row customHeight="1" ht="0.75">
      <c r="A253" s="1170" t="s">
        <v>1270</v>
      </c>
      <c r="B253" s="1170"/>
      <c r="C253" s="1170"/>
      <c r="D253" s="1164"/>
      <c r="E253" s="1174"/>
      <c r="F253" s="2540">
        <v>2022</v>
      </c>
      <c r="G253" s="2519"/>
      <c r="H253" s="2544" t="s">
        <v>394</v>
      </c>
      <c r="I253" s="2545"/>
      <c r="J253" s="2546"/>
      <c r="K253" s="2546"/>
      <c r="L253" s="2538"/>
      <c r="M253" s="2272"/>
      <c r="N253" s="2040"/>
      <c r="O253" s="2039"/>
      <c r="P253" s="2040"/>
      <c r="Q253" s="2040"/>
      <c r="R253" s="2040"/>
      <c r="S253" s="2040"/>
      <c r="T253" s="2040"/>
      <c r="U253" s="2040"/>
      <c r="V253" s="2040"/>
      <c r="W253" s="2040"/>
      <c r="X253" s="2040"/>
      <c r="Y253" s="2040"/>
      <c r="Z253" s="2040"/>
      <c r="AA253" s="2040"/>
      <c r="AB253" s="2040"/>
      <c r="AC253" s="2040"/>
      <c r="AD253" s="2040"/>
      <c r="AE253" s="2040"/>
      <c r="AF253" s="2542"/>
      <c r="AG253" s="2538"/>
      <c r="AH253" s="2538"/>
      <c r="AI253" s="2542"/>
      <c r="AJ253" s="2538"/>
      <c r="AK253" s="2538"/>
      <c r="AL253" s="1992"/>
      <c r="AM253" s="1827"/>
      <c r="AN253" s="1827"/>
      <c r="AO253" s="1827"/>
      <c r="AP253" s="1827"/>
      <c r="AQ253" s="1827"/>
      <c r="AR253" s="1827"/>
      <c r="AS253" s="1827"/>
      <c r="AT253" s="1827"/>
      <c r="AU253" s="1827"/>
      <c r="AV253" s="1827"/>
      <c r="AW253" s="1827"/>
      <c r="AX253" s="1827"/>
      <c r="AY253" s="1827"/>
      <c r="AZ253" s="1827"/>
      <c r="BA253" s="1827"/>
      <c r="BB253" s="1827"/>
      <c r="BC253" s="1827"/>
      <c r="BD253" s="1827"/>
      <c r="BE253" s="1827"/>
      <c r="BF253" s="1827"/>
      <c r="BG253" s="1639"/>
    </row>
    <row customHeight="1" ht="0.75">
      <c r="A254" s="1170" t="s">
        <v>1270</v>
      </c>
      <c r="B254" s="1170"/>
      <c r="C254" s="1170"/>
      <c r="D254" s="1164"/>
      <c r="E254" s="1174"/>
      <c r="F254" s="2540"/>
      <c r="G254" s="2519"/>
      <c r="H254" s="2544"/>
      <c r="I254" s="2545"/>
      <c r="J254" s="2546"/>
      <c r="K254" s="2546"/>
      <c r="L254" s="2538"/>
      <c r="M254" s="2272"/>
      <c r="N254" s="2547"/>
      <c r="O254" s="2548"/>
      <c r="P254" s="2592"/>
      <c r="Q254" s="2543"/>
      <c r="R254" s="2543"/>
      <c r="S254" s="2543"/>
      <c r="T254" s="2543"/>
      <c r="U254" s="2543"/>
      <c r="V254" s="2543"/>
      <c r="W254" s="2543"/>
      <c r="X254" s="2543"/>
      <c r="Y254" s="2543"/>
      <c r="Z254" s="2041"/>
      <c r="AA254" s="2042"/>
      <c r="AB254" s="2042"/>
      <c r="AC254" s="2043"/>
      <c r="AD254" s="2043"/>
      <c r="AE254" s="2044"/>
      <c r="AF254" s="2542"/>
      <c r="AG254" s="2538"/>
      <c r="AH254" s="2538"/>
      <c r="AI254" s="2542"/>
      <c r="AJ254" s="2538"/>
      <c r="AK254" s="2538"/>
      <c r="AL254" s="1992"/>
      <c r="AM254" s="1827"/>
      <c r="AN254" s="1827"/>
      <c r="AO254" s="1827"/>
      <c r="AP254" s="1827"/>
      <c r="AQ254" s="1827"/>
      <c r="AR254" s="1827"/>
      <c r="AS254" s="1827"/>
      <c r="AT254" s="1827"/>
      <c r="AU254" s="1827"/>
      <c r="AV254" s="1827"/>
      <c r="AW254" s="1827"/>
      <c r="AX254" s="1827"/>
      <c r="AY254" s="1827"/>
      <c r="AZ254" s="1827"/>
      <c r="BA254" s="1827"/>
      <c r="BB254" s="1827"/>
      <c r="BC254" s="1827"/>
      <c r="BD254" s="1827"/>
      <c r="BE254" s="1827"/>
      <c r="BF254" s="1827"/>
      <c r="BG254" s="1639"/>
    </row>
    <row customHeight="1" ht="0.75">
      <c r="A255" s="1170" t="s">
        <v>1270</v>
      </c>
      <c r="B255" s="1170"/>
      <c r="C255" s="1170"/>
      <c r="D255" s="1164"/>
      <c r="E255" s="1174"/>
      <c r="F255" s="2540"/>
      <c r="G255" s="2519"/>
      <c r="H255" s="2544"/>
      <c r="I255" s="2545"/>
      <c r="J255" s="2546"/>
      <c r="K255" s="2546"/>
      <c r="L255" s="2538"/>
      <c r="M255" s="2272"/>
      <c r="N255" s="2547"/>
      <c r="O255" s="2548"/>
      <c r="P255" s="2593"/>
      <c r="Q255" s="2543"/>
      <c r="R255" s="2543"/>
      <c r="S255" s="2543"/>
      <c r="T255" s="2543"/>
      <c r="U255" s="2543"/>
      <c r="V255" s="2543"/>
      <c r="W255" s="2543"/>
      <c r="X255" s="2543"/>
      <c r="Y255" s="2543"/>
      <c r="Z255" s="2045"/>
      <c r="AA255" s="2046"/>
      <c r="AB255" s="2047"/>
      <c r="AC255" s="2048"/>
      <c r="AD255" s="2047"/>
      <c r="AE255" s="2048"/>
      <c r="AF255" s="2542"/>
      <c r="AG255" s="2538"/>
      <c r="AH255" s="2538"/>
      <c r="AI255" s="2542"/>
      <c r="AJ255" s="2538"/>
      <c r="AK255" s="2538"/>
      <c r="AL255" s="1992"/>
      <c r="AM255" s="1827"/>
      <c r="AN255" s="1827"/>
      <c r="AO255" s="1827"/>
      <c r="AP255" s="1827"/>
      <c r="AQ255" s="1827"/>
      <c r="AR255" s="1827"/>
      <c r="AS255" s="1827"/>
      <c r="AT255" s="1827"/>
      <c r="AU255" s="1827"/>
      <c r="AV255" s="1827"/>
      <c r="AW255" s="1827"/>
      <c r="AX255" s="1827"/>
      <c r="AY255" s="1827"/>
      <c r="AZ255" s="1827"/>
      <c r="BA255" s="1827"/>
      <c r="BB255" s="1827"/>
      <c r="BC255" s="1827"/>
      <c r="BD255" s="1827"/>
      <c r="BE255" s="1827"/>
      <c r="BF255" s="1827"/>
      <c r="BG255" s="1639"/>
    </row>
    <row customHeight="1" ht="0.75">
      <c r="A256" s="1170" t="s">
        <v>1270</v>
      </c>
      <c r="B256" s="1170"/>
      <c r="C256" s="1170"/>
      <c r="D256" s="1164"/>
      <c r="E256" s="1174"/>
      <c r="F256" s="2540"/>
      <c r="G256" s="2519"/>
      <c r="H256" s="2544"/>
      <c r="I256" s="2545"/>
      <c r="J256" s="2546"/>
      <c r="K256" s="2546"/>
      <c r="L256" s="2538"/>
      <c r="M256" s="2272"/>
      <c r="N256" s="2547"/>
      <c r="O256" s="2548"/>
      <c r="P256" s="2594"/>
      <c r="Q256" s="2543"/>
      <c r="R256" s="2543"/>
      <c r="S256" s="2543"/>
      <c r="T256" s="2543"/>
      <c r="U256" s="2543"/>
      <c r="V256" s="2543"/>
      <c r="W256" s="2543"/>
      <c r="X256" s="2543"/>
      <c r="Y256" s="2543"/>
      <c r="Z256" s="2041"/>
      <c r="AA256" s="2042"/>
      <c r="AB256" s="2049"/>
      <c r="AC256" s="2043"/>
      <c r="AD256" s="2043"/>
      <c r="AE256" s="2050"/>
      <c r="AF256" s="2542"/>
      <c r="AG256" s="2538"/>
      <c r="AH256" s="2538"/>
      <c r="AI256" s="2542"/>
      <c r="AJ256" s="2538"/>
      <c r="AK256" s="2538"/>
      <c r="AL256" s="1992"/>
      <c r="AM256" s="1827"/>
      <c r="AN256" s="1827"/>
      <c r="AO256" s="1827"/>
      <c r="AP256" s="1827"/>
      <c r="AQ256" s="1827"/>
      <c r="AR256" s="1827"/>
      <c r="AS256" s="1827"/>
      <c r="AT256" s="1827"/>
      <c r="AU256" s="1827"/>
      <c r="AV256" s="1827"/>
      <c r="AW256" s="1827"/>
      <c r="AX256" s="1827"/>
      <c r="AY256" s="1827"/>
      <c r="AZ256" s="1827"/>
      <c r="BA256" s="1827"/>
      <c r="BB256" s="1827"/>
      <c r="BC256" s="1827"/>
      <c r="BD256" s="1827"/>
      <c r="BE256" s="1827"/>
      <c r="BF256" s="1827"/>
      <c r="BG256" s="1639"/>
    </row>
    <row customHeight="1" ht="0.75">
      <c r="A257" s="1170" t="s">
        <v>1270</v>
      </c>
      <c r="B257" s="1170"/>
      <c r="C257" s="1170"/>
      <c r="D257" s="1164"/>
      <c r="E257" s="1174"/>
      <c r="F257" s="2540"/>
      <c r="G257" s="2519"/>
      <c r="H257" s="2544"/>
      <c r="I257" s="2545"/>
      <c r="J257" s="2546"/>
      <c r="K257" s="2546"/>
      <c r="L257" s="2538"/>
      <c r="M257" s="2272"/>
      <c r="N257" s="2042"/>
      <c r="O257" s="2042"/>
      <c r="P257" s="2049"/>
      <c r="Q257" s="2042"/>
      <c r="R257" s="2042"/>
      <c r="S257" s="2042"/>
      <c r="T257" s="2042"/>
      <c r="U257" s="2042"/>
      <c r="V257" s="2042"/>
      <c r="W257" s="2042"/>
      <c r="X257" s="2042"/>
      <c r="Y257" s="2042"/>
      <c r="Z257" s="2042"/>
      <c r="AA257" s="2042"/>
      <c r="AB257" s="2042"/>
      <c r="AC257" s="2042"/>
      <c r="AD257" s="2042"/>
      <c r="AE257" s="2051"/>
      <c r="AF257" s="2542"/>
      <c r="AG257" s="2538"/>
      <c r="AH257" s="2538"/>
      <c r="AI257" s="2542"/>
      <c r="AJ257" s="2538"/>
      <c r="AK257" s="2538"/>
      <c r="AL257" s="1992"/>
      <c r="AM257" s="1827"/>
      <c r="AN257" s="1827"/>
      <c r="AO257" s="1827"/>
      <c r="AP257" s="1827"/>
      <c r="AQ257" s="1827"/>
      <c r="AR257" s="1827"/>
      <c r="AS257" s="1827"/>
      <c r="AT257" s="1827"/>
      <c r="AU257" s="1827"/>
      <c r="AV257" s="1827"/>
      <c r="AW257" s="1827"/>
      <c r="AX257" s="1827"/>
      <c r="AY257" s="1827"/>
      <c r="AZ257" s="1827"/>
      <c r="BA257" s="1827"/>
      <c r="BB257" s="1827"/>
      <c r="BC257" s="1827"/>
      <c r="BD257" s="1827"/>
      <c r="BE257" s="1827"/>
      <c r="BF257" s="1827"/>
      <c r="BG257" s="1639"/>
    </row>
    <row customHeight="1" ht="11.25">
      <c r="A258" s="1170" t="s">
        <v>1270</v>
      </c>
      <c r="B258" s="1170" t="s">
        <v>1323</v>
      </c>
      <c r="C258" s="1170"/>
      <c r="D258" s="1164"/>
      <c r="E258" s="1174"/>
      <c r="F258" s="1833"/>
      <c r="G258" s="687" t="s">
        <v>104</v>
      </c>
      <c r="H258" s="2519" t="s">
        <v>119</v>
      </c>
      <c r="I258" s="2520" t="s">
        <v>1324</v>
      </c>
      <c r="J258" s="2489" t="s">
        <v>1325</v>
      </c>
      <c r="K258" s="2521"/>
      <c r="L258" s="2111" t="s">
        <v>19</v>
      </c>
      <c r="M258" s="2112"/>
      <c r="N258" s="1990"/>
      <c r="O258" s="1181" t="s">
        <v>394</v>
      </c>
      <c r="P258" s="1182"/>
      <c r="Q258" s="1182"/>
      <c r="R258" s="1182"/>
      <c r="S258" s="1182"/>
      <c r="T258" s="1182"/>
      <c r="U258" s="1182"/>
      <c r="V258" s="1182"/>
      <c r="W258" s="1182"/>
      <c r="X258" s="1182"/>
      <c r="Y258" s="1182"/>
      <c r="Z258" s="1182"/>
      <c r="AA258" s="1182"/>
      <c r="AB258" s="1182"/>
      <c r="AC258" s="1182"/>
      <c r="AD258" s="1182"/>
      <c r="AE258" s="1182"/>
      <c r="AF258" s="2510">
        <v>3</v>
      </c>
      <c r="AG258" s="2511" t="s">
        <v>1304</v>
      </c>
      <c r="AH258" s="2511" t="s">
        <v>1327</v>
      </c>
      <c r="AI258" s="2510">
        <v>3</v>
      </c>
      <c r="AJ258" s="2511" t="s">
        <v>1304</v>
      </c>
      <c r="AK258" s="2511" t="s">
        <v>1327</v>
      </c>
      <c r="AL258" s="1992"/>
      <c r="AM258" s="1827"/>
      <c r="AN258" s="1827"/>
      <c r="AO258" s="1827"/>
      <c r="AP258" s="1827"/>
      <c r="AQ258" s="1827"/>
      <c r="AR258" s="1827"/>
      <c r="AS258" s="1827"/>
      <c r="AT258" s="1827"/>
      <c r="AU258" s="1827"/>
      <c r="AV258" s="1827"/>
      <c r="AW258" s="1827"/>
      <c r="AX258" s="1827"/>
      <c r="AY258" s="1827"/>
      <c r="AZ258" s="1827"/>
      <c r="BA258" s="1827"/>
      <c r="BB258" s="1827"/>
      <c r="BC258" s="1827"/>
      <c r="BD258" s="1827"/>
      <c r="BE258" s="1827"/>
      <c r="BF258" s="1827"/>
      <c r="BG258" s="1639"/>
    </row>
    <row customHeight="1" ht="11.25">
      <c r="A259" s="1170" t="s">
        <v>1270</v>
      </c>
      <c r="B259" s="1170"/>
      <c r="C259" s="1170"/>
      <c r="D259" s="1164"/>
      <c r="E259" s="1174"/>
      <c r="F259" s="1833"/>
      <c r="G259" s="1834"/>
      <c r="H259" s="2519" t="s">
        <v>119</v>
      </c>
      <c r="I259" s="2520"/>
      <c r="J259" s="2489"/>
      <c r="K259" s="2521"/>
      <c r="L259" s="2111"/>
      <c r="M259" s="2112"/>
      <c r="N259" s="2512"/>
      <c r="O259" s="2513">
        <v>1</v>
      </c>
      <c r="P259" s="2514" t="s">
        <v>19</v>
      </c>
      <c r="Q259" s="2517" t="s">
        <v>22</v>
      </c>
      <c r="R259" s="2517" t="s">
        <v>22</v>
      </c>
      <c r="S259" s="2517" t="s">
        <v>22</v>
      </c>
      <c r="T259" s="2517" t="s">
        <v>22</v>
      </c>
      <c r="U259" s="2517" t="s">
        <v>22</v>
      </c>
      <c r="V259" s="2517" t="s">
        <v>22</v>
      </c>
      <c r="W259" s="2517" t="s">
        <v>22</v>
      </c>
      <c r="X259" s="2517" t="s">
        <v>22</v>
      </c>
      <c r="Y259" s="2517"/>
      <c r="Z259" s="1179"/>
      <c r="AA259" s="1180"/>
      <c r="AB259" s="1180"/>
      <c r="AC259" s="1184"/>
      <c r="AD259" s="1184"/>
      <c r="AE259" s="1185"/>
      <c r="AF259" s="2510"/>
      <c r="AG259" s="2511"/>
      <c r="AH259" s="2511"/>
      <c r="AI259" s="2510"/>
      <c r="AJ259" s="2511"/>
      <c r="AK259" s="2511"/>
      <c r="AL259" s="1992"/>
      <c r="AM259" s="1827"/>
      <c r="AN259" s="1827"/>
      <c r="AO259" s="1827"/>
      <c r="AP259" s="1827"/>
      <c r="AQ259" s="1827"/>
      <c r="AR259" s="1827"/>
      <c r="AS259" s="1827"/>
      <c r="AT259" s="1827"/>
      <c r="AU259" s="1827"/>
      <c r="AV259" s="1827"/>
      <c r="AW259" s="1827"/>
      <c r="AX259" s="1827"/>
      <c r="AY259" s="1827"/>
      <c r="AZ259" s="1827"/>
      <c r="BA259" s="1827"/>
      <c r="BB259" s="1827"/>
      <c r="BC259" s="1827"/>
      <c r="BD259" s="1827"/>
      <c r="BE259" s="1827"/>
      <c r="BF259" s="1827"/>
      <c r="BG259" s="1639"/>
    </row>
    <row customHeight="1" ht="31.5">
      <c r="A260" s="1170" t="s">
        <v>1270</v>
      </c>
      <c r="B260" s="1170"/>
      <c r="C260" s="1170"/>
      <c r="D260" s="1164"/>
      <c r="E260" s="1174"/>
      <c r="F260" s="1833"/>
      <c r="G260" s="1834"/>
      <c r="H260" s="2519" t="s">
        <v>119</v>
      </c>
      <c r="I260" s="2520"/>
      <c r="J260" s="2489"/>
      <c r="K260" s="2521"/>
      <c r="L260" s="2111"/>
      <c r="M260" s="2112"/>
      <c r="N260" s="2512"/>
      <c r="O260" s="2513"/>
      <c r="P260" s="2515"/>
      <c r="Q260" s="2517"/>
      <c r="R260" s="2517"/>
      <c r="S260" s="2518"/>
      <c r="T260" s="2517"/>
      <c r="U260" s="2517"/>
      <c r="V260" s="2517"/>
      <c r="W260" s="2517"/>
      <c r="X260" s="2517"/>
      <c r="Y260" s="2517"/>
      <c r="Z260" s="1832"/>
      <c r="AA260" s="1798">
        <v>1</v>
      </c>
      <c r="AB260" s="1183" t="s">
        <v>1311</v>
      </c>
      <c r="AC260" s="1173">
        <v>1233</v>
      </c>
      <c r="AD260" s="1183" t="str">
        <f>AB260</f>
        <v>      Амортизационные отчисления с выделением результатов переоценки основных средств и нематериальных активов</v>
      </c>
      <c r="AE260" s="1173">
        <v>1233</v>
      </c>
      <c r="AF260" s="2510"/>
      <c r="AG260" s="2511"/>
      <c r="AH260" s="2511"/>
      <c r="AI260" s="2510"/>
      <c r="AJ260" s="2511"/>
      <c r="AK260" s="2511"/>
      <c r="AL260" s="1992"/>
      <c r="AM260" s="1827"/>
      <c r="AN260" s="1827"/>
      <c r="AO260" s="1827"/>
      <c r="AP260" s="1827"/>
      <c r="AQ260" s="1827"/>
      <c r="AR260" s="1827"/>
      <c r="AS260" s="1827"/>
      <c r="AT260" s="1827"/>
      <c r="AU260" s="1827"/>
      <c r="AV260" s="1827"/>
      <c r="AW260" s="1827"/>
      <c r="AX260" s="1827"/>
      <c r="AY260" s="1827"/>
      <c r="AZ260" s="1827"/>
      <c r="BA260" s="1827"/>
      <c r="BB260" s="1827"/>
      <c r="BC260" s="1827"/>
      <c r="BD260" s="1827"/>
      <c r="BE260" s="1827"/>
      <c r="BF260" s="1827"/>
      <c r="BG260" s="1639"/>
    </row>
    <row customHeight="1" ht="11.25">
      <c r="A261" s="1170" t="s">
        <v>1270</v>
      </c>
      <c r="B261" s="1170"/>
      <c r="C261" s="1170"/>
      <c r="D261" s="1164"/>
      <c r="E261" s="1174"/>
      <c r="F261" s="1834"/>
      <c r="G261" s="1834"/>
      <c r="H261" s="1834"/>
      <c r="I261" s="1834"/>
      <c r="J261" s="1834"/>
      <c r="K261" s="1834"/>
      <c r="L261" s="1834"/>
      <c r="M261" s="1834"/>
      <c r="N261" s="1834"/>
      <c r="O261" s="1834"/>
      <c r="P261" s="1834"/>
      <c r="Q261" s="1834"/>
      <c r="R261" s="1834"/>
      <c r="S261" s="1834"/>
      <c r="T261" s="1834"/>
      <c r="U261" s="1834"/>
      <c r="V261" s="1834"/>
      <c r="W261" s="1834"/>
      <c r="X261" s="1834"/>
      <c r="Y261" s="1834"/>
      <c r="Z261" s="687" t="s">
        <v>104</v>
      </c>
      <c r="AA261" s="1818" t="s">
        <v>103</v>
      </c>
      <c r="AB261" s="1183" t="s">
        <v>1313</v>
      </c>
      <c r="AC261" s="1173">
        <v>8782.83</v>
      </c>
      <c r="AD261" s="1183" t="str">
        <f>AB261</f>
        <v>  Кредиты</v>
      </c>
      <c r="AE261" s="1173">
        <v>9973.01624</v>
      </c>
      <c r="AF261" s="1835"/>
      <c r="AG261" s="1763"/>
      <c r="AH261" s="1763"/>
      <c r="AI261" s="1835"/>
      <c r="AJ261" s="1763"/>
      <c r="AK261" s="1991"/>
      <c r="AL261" s="1992"/>
      <c r="AM261" s="1827"/>
      <c r="AN261" s="1827"/>
      <c r="AO261" s="1827"/>
      <c r="AP261" s="1827"/>
      <c r="AQ261" s="1827"/>
      <c r="AR261" s="1827"/>
      <c r="AS261" s="1827"/>
      <c r="AT261" s="1827"/>
      <c r="AU261" s="1827"/>
      <c r="AV261" s="1827"/>
      <c r="AW261" s="1827"/>
      <c r="AX261" s="1827"/>
      <c r="AY261" s="1827"/>
      <c r="AZ261" s="1827"/>
      <c r="BA261" s="1827"/>
      <c r="BB261" s="1827"/>
      <c r="BC261" s="1827"/>
      <c r="BD261" s="1827"/>
      <c r="BE261" s="1827"/>
      <c r="BF261" s="1827"/>
      <c r="BG261" s="1639"/>
    </row>
    <row customHeight="1" ht="11.25">
      <c r="A262" s="1170" t="s">
        <v>1270</v>
      </c>
      <c r="B262" s="1170"/>
      <c r="C262" s="1170"/>
      <c r="D262" s="1164"/>
      <c r="E262" s="1174"/>
      <c r="F262" s="1833"/>
      <c r="G262" s="1834"/>
      <c r="H262" s="2519" t="s">
        <v>119</v>
      </c>
      <c r="I262" s="2520"/>
      <c r="J262" s="2489"/>
      <c r="K262" s="2521"/>
      <c r="L262" s="2111"/>
      <c r="M262" s="2112"/>
      <c r="N262" s="2512"/>
      <c r="O262" s="2513"/>
      <c r="P262" s="2516"/>
      <c r="Q262" s="2517"/>
      <c r="R262" s="2517"/>
      <c r="S262" s="2518"/>
      <c r="T262" s="2517"/>
      <c r="U262" s="2517"/>
      <c r="V262" s="2517"/>
      <c r="W262" s="2517"/>
      <c r="X262" s="2517"/>
      <c r="Y262" s="2517"/>
      <c r="Z262" s="1179"/>
      <c r="AA262" s="1180"/>
      <c r="AB262" s="1245" t="s">
        <v>1307</v>
      </c>
      <c r="AC262" s="1184"/>
      <c r="AD262" s="1184"/>
      <c r="AE262" s="1186"/>
      <c r="AF262" s="2510"/>
      <c r="AG262" s="2511"/>
      <c r="AH262" s="2511"/>
      <c r="AI262" s="2510"/>
      <c r="AJ262" s="2511"/>
      <c r="AK262" s="2511"/>
      <c r="AL262" s="1992"/>
      <c r="AM262" s="1827"/>
      <c r="AN262" s="1827"/>
      <c r="AO262" s="1827"/>
      <c r="AP262" s="1827"/>
      <c r="AQ262" s="1827"/>
      <c r="AR262" s="1827"/>
      <c r="AS262" s="1827"/>
      <c r="AT262" s="1827"/>
      <c r="AU262" s="1827"/>
      <c r="AV262" s="1827"/>
      <c r="AW262" s="1827"/>
      <c r="AX262" s="1827"/>
      <c r="AY262" s="1827"/>
      <c r="AZ262" s="1827"/>
      <c r="BA262" s="1827"/>
      <c r="BB262" s="1827"/>
      <c r="BC262" s="1827"/>
      <c r="BD262" s="1827"/>
      <c r="BE262" s="1827"/>
      <c r="BF262" s="1827"/>
      <c r="BG262" s="1639"/>
    </row>
    <row customHeight="1" ht="11.25">
      <c r="A263" s="1170" t="s">
        <v>1270</v>
      </c>
      <c r="B263" s="1170"/>
      <c r="C263" s="1170"/>
      <c r="D263" s="1164"/>
      <c r="E263" s="1174"/>
      <c r="F263" s="1833"/>
      <c r="G263" s="1834"/>
      <c r="H263" s="2519" t="s">
        <v>119</v>
      </c>
      <c r="I263" s="2520"/>
      <c r="J263" s="2489"/>
      <c r="K263" s="2521"/>
      <c r="L263" s="2111"/>
      <c r="M263" s="2112"/>
      <c r="N263" s="1179"/>
      <c r="O263" s="1180"/>
      <c r="P263" s="1172" t="s">
        <v>1308</v>
      </c>
      <c r="Q263" s="1180"/>
      <c r="R263" s="1180"/>
      <c r="S263" s="1180"/>
      <c r="T263" s="1180"/>
      <c r="U263" s="1180"/>
      <c r="V263" s="1180"/>
      <c r="W263" s="1180"/>
      <c r="X263" s="1180"/>
      <c r="Y263" s="1180"/>
      <c r="Z263" s="1180"/>
      <c r="AA263" s="1180"/>
      <c r="AB263" s="1180"/>
      <c r="AC263" s="1180"/>
      <c r="AD263" s="1180"/>
      <c r="AE263" s="1187"/>
      <c r="AF263" s="2510"/>
      <c r="AG263" s="2511"/>
      <c r="AH263" s="2511"/>
      <c r="AI263" s="2510"/>
      <c r="AJ263" s="2511"/>
      <c r="AK263" s="2511"/>
      <c r="AL263" s="1992"/>
      <c r="AM263" s="1827"/>
      <c r="AN263" s="1827"/>
      <c r="AO263" s="1827"/>
      <c r="AP263" s="1827"/>
      <c r="AQ263" s="1827"/>
      <c r="AR263" s="1827"/>
      <c r="AS263" s="1827"/>
      <c r="AT263" s="1827"/>
      <c r="AU263" s="1827"/>
      <c r="AV263" s="1827"/>
      <c r="AW263" s="1827"/>
      <c r="AX263" s="1827"/>
      <c r="AY263" s="1827"/>
      <c r="AZ263" s="1827"/>
      <c r="BA263" s="1827"/>
      <c r="BB263" s="1827"/>
      <c r="BC263" s="1827"/>
      <c r="BD263" s="1827"/>
      <c r="BE263" s="1827"/>
      <c r="BF263" s="1827"/>
      <c r="BG263" s="1639"/>
    </row>
    <row customHeight="1" ht="12">
      <c r="A264" s="1170" t="s">
        <v>1270</v>
      </c>
      <c r="B264" s="1170"/>
      <c r="C264" s="1170"/>
      <c r="D264" s="1164"/>
      <c r="E264" s="1174"/>
      <c r="F264" s="2541"/>
      <c r="G264" s="1194"/>
      <c r="H264" s="1194"/>
      <c r="I264" s="2539" t="s">
        <v>1321</v>
      </c>
      <c r="J264" s="2539"/>
      <c r="K264" s="2539"/>
      <c r="L264" s="1177"/>
      <c r="M264" s="1177"/>
      <c r="N264" s="1178"/>
      <c r="O264" s="1178"/>
      <c r="P264" s="1178"/>
      <c r="Q264" s="1178"/>
      <c r="R264" s="1178"/>
      <c r="S264" s="1178"/>
      <c r="T264" s="1178"/>
      <c r="U264" s="1178"/>
      <c r="V264" s="1178"/>
      <c r="W264" s="1178"/>
      <c r="X264" s="1178"/>
      <c r="Y264" s="1178"/>
      <c r="Z264" s="1178"/>
      <c r="AA264" s="1178"/>
      <c r="AB264" s="1178"/>
      <c r="AC264" s="1178"/>
      <c r="AD264" s="1178"/>
      <c r="AE264" s="1178"/>
      <c r="AF264" s="1178"/>
      <c r="AG264" s="1177"/>
      <c r="AH264" s="1177"/>
      <c r="AI264" s="1178"/>
      <c r="AJ264" s="1177"/>
      <c r="AK264" s="1178"/>
      <c r="AL264" s="1992"/>
      <c r="AM264" s="1827"/>
      <c r="AN264" s="1827"/>
      <c r="AO264" s="1827"/>
      <c r="AP264" s="1827"/>
      <c r="AQ264" s="1827"/>
      <c r="AR264" s="1827"/>
      <c r="AS264" s="1827"/>
      <c r="AT264" s="1827"/>
      <c r="AU264" s="1827"/>
      <c r="AV264" s="1827"/>
      <c r="AW264" s="1827"/>
      <c r="AX264" s="1827"/>
      <c r="AY264" s="1827"/>
      <c r="AZ264" s="1827"/>
      <c r="BA264" s="1827"/>
      <c r="BB264" s="1827"/>
      <c r="BC264" s="1827"/>
      <c r="BD264" s="1827"/>
      <c r="BE264" s="1827"/>
      <c r="BF264" s="1827"/>
      <c r="BG264" s="1639"/>
    </row>
    <row customHeight="1" ht="0.75">
      <c r="A265" s="1170" t="s">
        <v>1270</v>
      </c>
      <c r="B265" s="1170"/>
      <c r="C265" s="1170"/>
      <c r="D265" s="1164"/>
      <c r="E265" s="1174"/>
      <c r="F265" s="2540">
        <v>2023</v>
      </c>
      <c r="G265" s="2519"/>
      <c r="H265" s="2544" t="s">
        <v>394</v>
      </c>
      <c r="I265" s="2545"/>
      <c r="J265" s="2546"/>
      <c r="K265" s="2546"/>
      <c r="L265" s="2538"/>
      <c r="M265" s="2272"/>
      <c r="N265" s="2040"/>
      <c r="O265" s="2039"/>
      <c r="P265" s="2040"/>
      <c r="Q265" s="2040"/>
      <c r="R265" s="2040"/>
      <c r="S265" s="2040"/>
      <c r="T265" s="2040"/>
      <c r="U265" s="2040"/>
      <c r="V265" s="2040"/>
      <c r="W265" s="2040"/>
      <c r="X265" s="2040"/>
      <c r="Y265" s="2040"/>
      <c r="Z265" s="2040"/>
      <c r="AA265" s="2040"/>
      <c r="AB265" s="2040"/>
      <c r="AC265" s="2040"/>
      <c r="AD265" s="2040"/>
      <c r="AE265" s="2040"/>
      <c r="AF265" s="2542"/>
      <c r="AG265" s="2538"/>
      <c r="AH265" s="2538"/>
      <c r="AI265" s="2542"/>
      <c r="AJ265" s="2538"/>
      <c r="AK265" s="2538"/>
      <c r="AL265" s="1992"/>
      <c r="AM265" s="1827"/>
      <c r="AN265" s="1827"/>
      <c r="AO265" s="1827"/>
      <c r="AP265" s="1827"/>
      <c r="AQ265" s="1827"/>
      <c r="AR265" s="1827"/>
      <c r="AS265" s="1827"/>
      <c r="AT265" s="1827"/>
      <c r="AU265" s="1827"/>
      <c r="AV265" s="1827"/>
      <c r="AW265" s="1827"/>
      <c r="AX265" s="1827"/>
      <c r="AY265" s="1827"/>
      <c r="AZ265" s="1827"/>
      <c r="BA265" s="1827"/>
      <c r="BB265" s="1827"/>
      <c r="BC265" s="1827"/>
      <c r="BD265" s="1827"/>
      <c r="BE265" s="1827"/>
      <c r="BF265" s="1827"/>
      <c r="BG265" s="1639"/>
    </row>
    <row customHeight="1" ht="0.75">
      <c r="A266" s="1170" t="s">
        <v>1270</v>
      </c>
      <c r="B266" s="1170"/>
      <c r="C266" s="1170"/>
      <c r="D266" s="1164"/>
      <c r="E266" s="1174"/>
      <c r="F266" s="2540"/>
      <c r="G266" s="2519"/>
      <c r="H266" s="2544"/>
      <c r="I266" s="2545"/>
      <c r="J266" s="2546"/>
      <c r="K266" s="2546"/>
      <c r="L266" s="2538"/>
      <c r="M266" s="2272"/>
      <c r="N266" s="2547"/>
      <c r="O266" s="2548"/>
      <c r="P266" s="2592"/>
      <c r="Q266" s="2543"/>
      <c r="R266" s="2543"/>
      <c r="S266" s="2543"/>
      <c r="T266" s="2543"/>
      <c r="U266" s="2543"/>
      <c r="V266" s="2543"/>
      <c r="W266" s="2543"/>
      <c r="X266" s="2543"/>
      <c r="Y266" s="2543"/>
      <c r="Z266" s="2041"/>
      <c r="AA266" s="2042"/>
      <c r="AB266" s="2042"/>
      <c r="AC266" s="2043"/>
      <c r="AD266" s="2043"/>
      <c r="AE266" s="2044"/>
      <c r="AF266" s="2542"/>
      <c r="AG266" s="2538"/>
      <c r="AH266" s="2538"/>
      <c r="AI266" s="2542"/>
      <c r="AJ266" s="2538"/>
      <c r="AK266" s="2538"/>
      <c r="AL266" s="1992"/>
      <c r="AM266" s="1827"/>
      <c r="AN266" s="1827"/>
      <c r="AO266" s="1827"/>
      <c r="AP266" s="1827"/>
      <c r="AQ266" s="1827"/>
      <c r="AR266" s="1827"/>
      <c r="AS266" s="1827"/>
      <c r="AT266" s="1827"/>
      <c r="AU266" s="1827"/>
      <c r="AV266" s="1827"/>
      <c r="AW266" s="1827"/>
      <c r="AX266" s="1827"/>
      <c r="AY266" s="1827"/>
      <c r="AZ266" s="1827"/>
      <c r="BA266" s="1827"/>
      <c r="BB266" s="1827"/>
      <c r="BC266" s="1827"/>
      <c r="BD266" s="1827"/>
      <c r="BE266" s="1827"/>
      <c r="BF266" s="1827"/>
      <c r="BG266" s="1639"/>
    </row>
    <row customHeight="1" ht="0.75">
      <c r="A267" s="1170" t="s">
        <v>1270</v>
      </c>
      <c r="B267" s="1170"/>
      <c r="C267" s="1170"/>
      <c r="D267" s="1164"/>
      <c r="E267" s="1174"/>
      <c r="F267" s="2540"/>
      <c r="G267" s="2519"/>
      <c r="H267" s="2544"/>
      <c r="I267" s="2545"/>
      <c r="J267" s="2546"/>
      <c r="K267" s="2546"/>
      <c r="L267" s="2538"/>
      <c r="M267" s="2272"/>
      <c r="N267" s="2547"/>
      <c r="O267" s="2548"/>
      <c r="P267" s="2593"/>
      <c r="Q267" s="2543"/>
      <c r="R267" s="2543"/>
      <c r="S267" s="2543"/>
      <c r="T267" s="2543"/>
      <c r="U267" s="2543"/>
      <c r="V267" s="2543"/>
      <c r="W267" s="2543"/>
      <c r="X267" s="2543"/>
      <c r="Y267" s="2543"/>
      <c r="Z267" s="2045"/>
      <c r="AA267" s="2046"/>
      <c r="AB267" s="2047"/>
      <c r="AC267" s="2048"/>
      <c r="AD267" s="2047"/>
      <c r="AE267" s="2048"/>
      <c r="AF267" s="2542"/>
      <c r="AG267" s="2538"/>
      <c r="AH267" s="2538"/>
      <c r="AI267" s="2542"/>
      <c r="AJ267" s="2538"/>
      <c r="AK267" s="2538"/>
      <c r="AL267" s="1992"/>
      <c r="AM267" s="1827"/>
      <c r="AN267" s="1827"/>
      <c r="AO267" s="1827"/>
      <c r="AP267" s="1827"/>
      <c r="AQ267" s="1827"/>
      <c r="AR267" s="1827"/>
      <c r="AS267" s="1827"/>
      <c r="AT267" s="1827"/>
      <c r="AU267" s="1827"/>
      <c r="AV267" s="1827"/>
      <c r="AW267" s="1827"/>
      <c r="AX267" s="1827"/>
      <c r="AY267" s="1827"/>
      <c r="AZ267" s="1827"/>
      <c r="BA267" s="1827"/>
      <c r="BB267" s="1827"/>
      <c r="BC267" s="1827"/>
      <c r="BD267" s="1827"/>
      <c r="BE267" s="1827"/>
      <c r="BF267" s="1827"/>
      <c r="BG267" s="1639"/>
    </row>
    <row customHeight="1" ht="0.75">
      <c r="A268" s="1170" t="s">
        <v>1270</v>
      </c>
      <c r="B268" s="1170"/>
      <c r="C268" s="1170"/>
      <c r="D268" s="1164"/>
      <c r="E268" s="1174"/>
      <c r="F268" s="2540"/>
      <c r="G268" s="2519"/>
      <c r="H268" s="2544"/>
      <c r="I268" s="2545"/>
      <c r="J268" s="2546"/>
      <c r="K268" s="2546"/>
      <c r="L268" s="2538"/>
      <c r="M268" s="2272"/>
      <c r="N268" s="2547"/>
      <c r="O268" s="2548"/>
      <c r="P268" s="2594"/>
      <c r="Q268" s="2543"/>
      <c r="R268" s="2543"/>
      <c r="S268" s="2543"/>
      <c r="T268" s="2543"/>
      <c r="U268" s="2543"/>
      <c r="V268" s="2543"/>
      <c r="W268" s="2543"/>
      <c r="X268" s="2543"/>
      <c r="Y268" s="2543"/>
      <c r="Z268" s="2041"/>
      <c r="AA268" s="2042"/>
      <c r="AB268" s="2049"/>
      <c r="AC268" s="2043"/>
      <c r="AD268" s="2043"/>
      <c r="AE268" s="2050"/>
      <c r="AF268" s="2542"/>
      <c r="AG268" s="2538"/>
      <c r="AH268" s="2538"/>
      <c r="AI268" s="2542"/>
      <c r="AJ268" s="2538"/>
      <c r="AK268" s="2538"/>
      <c r="AL268" s="1992"/>
      <c r="AM268" s="1827"/>
      <c r="AN268" s="1827"/>
      <c r="AO268" s="1827"/>
      <c r="AP268" s="1827"/>
      <c r="AQ268" s="1827"/>
      <c r="AR268" s="1827"/>
      <c r="AS268" s="1827"/>
      <c r="AT268" s="1827"/>
      <c r="AU268" s="1827"/>
      <c r="AV268" s="1827"/>
      <c r="AW268" s="1827"/>
      <c r="AX268" s="1827"/>
      <c r="AY268" s="1827"/>
      <c r="AZ268" s="1827"/>
      <c r="BA268" s="1827"/>
      <c r="BB268" s="1827"/>
      <c r="BC268" s="1827"/>
      <c r="BD268" s="1827"/>
      <c r="BE268" s="1827"/>
      <c r="BF268" s="1827"/>
      <c r="BG268" s="1639"/>
    </row>
    <row customHeight="1" ht="0.75">
      <c r="A269" s="1170" t="s">
        <v>1270</v>
      </c>
      <c r="B269" s="1170"/>
      <c r="C269" s="1170"/>
      <c r="D269" s="1164"/>
      <c r="E269" s="1174"/>
      <c r="F269" s="2540"/>
      <c r="G269" s="2519"/>
      <c r="H269" s="2544"/>
      <c r="I269" s="2545"/>
      <c r="J269" s="2546"/>
      <c r="K269" s="2546"/>
      <c r="L269" s="2538"/>
      <c r="M269" s="2272"/>
      <c r="N269" s="2042"/>
      <c r="O269" s="2042"/>
      <c r="P269" s="2049"/>
      <c r="Q269" s="2042"/>
      <c r="R269" s="2042"/>
      <c r="S269" s="2042"/>
      <c r="T269" s="2042"/>
      <c r="U269" s="2042"/>
      <c r="V269" s="2042"/>
      <c r="W269" s="2042"/>
      <c r="X269" s="2042"/>
      <c r="Y269" s="2042"/>
      <c r="Z269" s="2042"/>
      <c r="AA269" s="2042"/>
      <c r="AB269" s="2042"/>
      <c r="AC269" s="2042"/>
      <c r="AD269" s="2042"/>
      <c r="AE269" s="2051"/>
      <c r="AF269" s="2542"/>
      <c r="AG269" s="2538"/>
      <c r="AH269" s="2538"/>
      <c r="AI269" s="2542"/>
      <c r="AJ269" s="2538"/>
      <c r="AK269" s="2538"/>
      <c r="AL269" s="1992"/>
      <c r="AM269" s="1827"/>
      <c r="AN269" s="1827"/>
      <c r="AO269" s="1827"/>
      <c r="AP269" s="1827"/>
      <c r="AQ269" s="1827"/>
      <c r="AR269" s="1827"/>
      <c r="AS269" s="1827"/>
      <c r="AT269" s="1827"/>
      <c r="AU269" s="1827"/>
      <c r="AV269" s="1827"/>
      <c r="AW269" s="1827"/>
      <c r="AX269" s="1827"/>
      <c r="AY269" s="1827"/>
      <c r="AZ269" s="1827"/>
      <c r="BA269" s="1827"/>
      <c r="BB269" s="1827"/>
      <c r="BC269" s="1827"/>
      <c r="BD269" s="1827"/>
      <c r="BE269" s="1827"/>
      <c r="BF269" s="1827"/>
      <c r="BG269" s="1639"/>
    </row>
    <row customHeight="1" ht="12">
      <c r="A270" s="1170" t="s">
        <v>1270</v>
      </c>
      <c r="B270" s="1170"/>
      <c r="C270" s="1170"/>
      <c r="D270" s="1164"/>
      <c r="E270" s="1174"/>
      <c r="F270" s="2541"/>
      <c r="G270" s="1194"/>
      <c r="H270" s="1194"/>
      <c r="I270" s="2539" t="s">
        <v>1321</v>
      </c>
      <c r="J270" s="2539"/>
      <c r="K270" s="2539"/>
      <c r="L270" s="1177"/>
      <c r="M270" s="1177"/>
      <c r="N270" s="1178"/>
      <c r="O270" s="1178"/>
      <c r="P270" s="1178"/>
      <c r="Q270" s="1178"/>
      <c r="R270" s="1178"/>
      <c r="S270" s="1178"/>
      <c r="T270" s="1178"/>
      <c r="U270" s="1178"/>
      <c r="V270" s="1178"/>
      <c r="W270" s="1178"/>
      <c r="X270" s="1178"/>
      <c r="Y270" s="1178"/>
      <c r="Z270" s="1178"/>
      <c r="AA270" s="1178"/>
      <c r="AB270" s="1178"/>
      <c r="AC270" s="1178"/>
      <c r="AD270" s="1178"/>
      <c r="AE270" s="1178"/>
      <c r="AF270" s="1178"/>
      <c r="AG270" s="1177"/>
      <c r="AH270" s="1177"/>
      <c r="AI270" s="1178"/>
      <c r="AJ270" s="1177"/>
      <c r="AK270" s="1178"/>
      <c r="AL270" s="1992"/>
      <c r="AM270" s="1827"/>
      <c r="AN270" s="1827"/>
      <c r="AO270" s="1827"/>
      <c r="AP270" s="1827"/>
      <c r="AQ270" s="1827"/>
      <c r="AR270" s="1827"/>
      <c r="AS270" s="1827"/>
      <c r="AT270" s="1827"/>
      <c r="AU270" s="1827"/>
      <c r="AV270" s="1827"/>
      <c r="AW270" s="1827"/>
      <c r="AX270" s="1827"/>
      <c r="AY270" s="1827"/>
      <c r="AZ270" s="1827"/>
      <c r="BA270" s="1827"/>
      <c r="BB270" s="1827"/>
      <c r="BC270" s="1827"/>
      <c r="BD270" s="1827"/>
      <c r="BE270" s="1827"/>
      <c r="BF270" s="1827"/>
      <c r="BG270" s="1639"/>
    </row>
    <row customHeight="1" ht="0.75">
      <c r="A271" s="1170" t="s">
        <v>1270</v>
      </c>
      <c r="B271" s="1170"/>
      <c r="C271" s="1170"/>
      <c r="D271" s="1164"/>
      <c r="E271" s="1174"/>
      <c r="F271" s="2540">
        <v>2024</v>
      </c>
      <c r="G271" s="2519"/>
      <c r="H271" s="2544" t="s">
        <v>394</v>
      </c>
      <c r="I271" s="2545"/>
      <c r="J271" s="2546"/>
      <c r="K271" s="2546"/>
      <c r="L271" s="2538"/>
      <c r="M271" s="2272"/>
      <c r="N271" s="2040"/>
      <c r="O271" s="2039"/>
      <c r="P271" s="2040"/>
      <c r="Q271" s="2040"/>
      <c r="R271" s="2040"/>
      <c r="S271" s="2040"/>
      <c r="T271" s="2040"/>
      <c r="U271" s="2040"/>
      <c r="V271" s="2040"/>
      <c r="W271" s="2040"/>
      <c r="X271" s="2040"/>
      <c r="Y271" s="2040"/>
      <c r="Z271" s="2040"/>
      <c r="AA271" s="2040"/>
      <c r="AB271" s="2040"/>
      <c r="AC271" s="2040"/>
      <c r="AD271" s="2040"/>
      <c r="AE271" s="2040"/>
      <c r="AF271" s="2542"/>
      <c r="AG271" s="2538"/>
      <c r="AH271" s="2538"/>
      <c r="AI271" s="2542"/>
      <c r="AJ271" s="2538"/>
      <c r="AK271" s="2538"/>
      <c r="AL271" s="1992"/>
      <c r="AM271" s="1827"/>
      <c r="AN271" s="1827"/>
      <c r="AO271" s="1827"/>
      <c r="AP271" s="1827"/>
      <c r="AQ271" s="1827"/>
      <c r="AR271" s="1827"/>
      <c r="AS271" s="1827"/>
      <c r="AT271" s="1827"/>
      <c r="AU271" s="1827"/>
      <c r="AV271" s="1827"/>
      <c r="AW271" s="1827"/>
      <c r="AX271" s="1827"/>
      <c r="AY271" s="1827"/>
      <c r="AZ271" s="1827"/>
      <c r="BA271" s="1827"/>
      <c r="BB271" s="1827"/>
      <c r="BC271" s="1827"/>
      <c r="BD271" s="1827"/>
      <c r="BE271" s="1827"/>
      <c r="BF271" s="1827"/>
      <c r="BG271" s="1639"/>
    </row>
    <row customHeight="1" ht="0.75">
      <c r="A272" s="1170" t="s">
        <v>1270</v>
      </c>
      <c r="B272" s="1170"/>
      <c r="C272" s="1170"/>
      <c r="D272" s="1164"/>
      <c r="E272" s="1174"/>
      <c r="F272" s="2540"/>
      <c r="G272" s="2519"/>
      <c r="H272" s="2544"/>
      <c r="I272" s="2545"/>
      <c r="J272" s="2546"/>
      <c r="K272" s="2546"/>
      <c r="L272" s="2538"/>
      <c r="M272" s="2272"/>
      <c r="N272" s="2547"/>
      <c r="O272" s="2548"/>
      <c r="P272" s="2592"/>
      <c r="Q272" s="2543"/>
      <c r="R272" s="2543"/>
      <c r="S272" s="2543"/>
      <c r="T272" s="2543"/>
      <c r="U272" s="2543"/>
      <c r="V272" s="2543"/>
      <c r="W272" s="2543"/>
      <c r="X272" s="2543"/>
      <c r="Y272" s="2543"/>
      <c r="Z272" s="2041"/>
      <c r="AA272" s="2042"/>
      <c r="AB272" s="2042"/>
      <c r="AC272" s="2043"/>
      <c r="AD272" s="2043"/>
      <c r="AE272" s="2044"/>
      <c r="AF272" s="2542"/>
      <c r="AG272" s="2538"/>
      <c r="AH272" s="2538"/>
      <c r="AI272" s="2542"/>
      <c r="AJ272" s="2538"/>
      <c r="AK272" s="2538"/>
      <c r="AL272" s="1992"/>
      <c r="AM272" s="1827"/>
      <c r="AN272" s="1827"/>
      <c r="AO272" s="1827"/>
      <c r="AP272" s="1827"/>
      <c r="AQ272" s="1827"/>
      <c r="AR272" s="1827"/>
      <c r="AS272" s="1827"/>
      <c r="AT272" s="1827"/>
      <c r="AU272" s="1827"/>
      <c r="AV272" s="1827"/>
      <c r="AW272" s="1827"/>
      <c r="AX272" s="1827"/>
      <c r="AY272" s="1827"/>
      <c r="AZ272" s="1827"/>
      <c r="BA272" s="1827"/>
      <c r="BB272" s="1827"/>
      <c r="BC272" s="1827"/>
      <c r="BD272" s="1827"/>
      <c r="BE272" s="1827"/>
      <c r="BF272" s="1827"/>
      <c r="BG272" s="1639"/>
    </row>
    <row customHeight="1" ht="0.75">
      <c r="A273" s="1170" t="s">
        <v>1270</v>
      </c>
      <c r="B273" s="1170"/>
      <c r="C273" s="1170"/>
      <c r="D273" s="1164"/>
      <c r="E273" s="1174"/>
      <c r="F273" s="2540"/>
      <c r="G273" s="2519"/>
      <c r="H273" s="2544"/>
      <c r="I273" s="2545"/>
      <c r="J273" s="2546"/>
      <c r="K273" s="2546"/>
      <c r="L273" s="2538"/>
      <c r="M273" s="2272"/>
      <c r="N273" s="2547"/>
      <c r="O273" s="2548"/>
      <c r="P273" s="2593"/>
      <c r="Q273" s="2543"/>
      <c r="R273" s="2543"/>
      <c r="S273" s="2543"/>
      <c r="T273" s="2543"/>
      <c r="U273" s="2543"/>
      <c r="V273" s="2543"/>
      <c r="W273" s="2543"/>
      <c r="X273" s="2543"/>
      <c r="Y273" s="2543"/>
      <c r="Z273" s="2045"/>
      <c r="AA273" s="2046"/>
      <c r="AB273" s="2047"/>
      <c r="AC273" s="2048"/>
      <c r="AD273" s="2047"/>
      <c r="AE273" s="2048"/>
      <c r="AF273" s="2542"/>
      <c r="AG273" s="2538"/>
      <c r="AH273" s="2538"/>
      <c r="AI273" s="2542"/>
      <c r="AJ273" s="2538"/>
      <c r="AK273" s="2538"/>
      <c r="AL273" s="1992"/>
      <c r="AM273" s="1827"/>
      <c r="AN273" s="1827"/>
      <c r="AO273" s="1827"/>
      <c r="AP273" s="1827"/>
      <c r="AQ273" s="1827"/>
      <c r="AR273" s="1827"/>
      <c r="AS273" s="1827"/>
      <c r="AT273" s="1827"/>
      <c r="AU273" s="1827"/>
      <c r="AV273" s="1827"/>
      <c r="AW273" s="1827"/>
      <c r="AX273" s="1827"/>
      <c r="AY273" s="1827"/>
      <c r="AZ273" s="1827"/>
      <c r="BA273" s="1827"/>
      <c r="BB273" s="1827"/>
      <c r="BC273" s="1827"/>
      <c r="BD273" s="1827"/>
      <c r="BE273" s="1827"/>
      <c r="BF273" s="1827"/>
      <c r="BG273" s="1639"/>
    </row>
    <row customHeight="1" ht="0.75">
      <c r="A274" s="1170" t="s">
        <v>1270</v>
      </c>
      <c r="B274" s="1170"/>
      <c r="C274" s="1170"/>
      <c r="D274" s="1164"/>
      <c r="E274" s="1174"/>
      <c r="F274" s="2540"/>
      <c r="G274" s="2519"/>
      <c r="H274" s="2544"/>
      <c r="I274" s="2545"/>
      <c r="J274" s="2546"/>
      <c r="K274" s="2546"/>
      <c r="L274" s="2538"/>
      <c r="M274" s="2272"/>
      <c r="N274" s="2547"/>
      <c r="O274" s="2548"/>
      <c r="P274" s="2594"/>
      <c r="Q274" s="2543"/>
      <c r="R274" s="2543"/>
      <c r="S274" s="2543"/>
      <c r="T274" s="2543"/>
      <c r="U274" s="2543"/>
      <c r="V274" s="2543"/>
      <c r="W274" s="2543"/>
      <c r="X274" s="2543"/>
      <c r="Y274" s="2543"/>
      <c r="Z274" s="2041"/>
      <c r="AA274" s="2042"/>
      <c r="AB274" s="2049"/>
      <c r="AC274" s="2043"/>
      <c r="AD274" s="2043"/>
      <c r="AE274" s="2050"/>
      <c r="AF274" s="2542"/>
      <c r="AG274" s="2538"/>
      <c r="AH274" s="2538"/>
      <c r="AI274" s="2542"/>
      <c r="AJ274" s="2538"/>
      <c r="AK274" s="2538"/>
      <c r="AL274" s="1992"/>
      <c r="AM274" s="1827"/>
      <c r="AN274" s="1827"/>
      <c r="AO274" s="1827"/>
      <c r="AP274" s="1827"/>
      <c r="AQ274" s="1827"/>
      <c r="AR274" s="1827"/>
      <c r="AS274" s="1827"/>
      <c r="AT274" s="1827"/>
      <c r="AU274" s="1827"/>
      <c r="AV274" s="1827"/>
      <c r="AW274" s="1827"/>
      <c r="AX274" s="1827"/>
      <c r="AY274" s="1827"/>
      <c r="AZ274" s="1827"/>
      <c r="BA274" s="1827"/>
      <c r="BB274" s="1827"/>
      <c r="BC274" s="1827"/>
      <c r="BD274" s="1827"/>
      <c r="BE274" s="1827"/>
      <c r="BF274" s="1827"/>
      <c r="BG274" s="1639"/>
    </row>
    <row customHeight="1" ht="0.75">
      <c r="A275" s="1170" t="s">
        <v>1270</v>
      </c>
      <c r="B275" s="1170"/>
      <c r="C275" s="1170"/>
      <c r="D275" s="1164"/>
      <c r="E275" s="1174"/>
      <c r="F275" s="2540"/>
      <c r="G275" s="2519"/>
      <c r="H275" s="2544"/>
      <c r="I275" s="2545"/>
      <c r="J275" s="2546"/>
      <c r="K275" s="2546"/>
      <c r="L275" s="2538"/>
      <c r="M275" s="2272"/>
      <c r="N275" s="2042"/>
      <c r="O275" s="2042"/>
      <c r="P275" s="2049"/>
      <c r="Q275" s="2042"/>
      <c r="R275" s="2042"/>
      <c r="S275" s="2042"/>
      <c r="T275" s="2042"/>
      <c r="U275" s="2042"/>
      <c r="V275" s="2042"/>
      <c r="W275" s="2042"/>
      <c r="X275" s="2042"/>
      <c r="Y275" s="2042"/>
      <c r="Z275" s="2042"/>
      <c r="AA275" s="2042"/>
      <c r="AB275" s="2042"/>
      <c r="AC275" s="2042"/>
      <c r="AD275" s="2042"/>
      <c r="AE275" s="2051"/>
      <c r="AF275" s="2542"/>
      <c r="AG275" s="2538"/>
      <c r="AH275" s="2538"/>
      <c r="AI275" s="2542"/>
      <c r="AJ275" s="2538"/>
      <c r="AK275" s="2538"/>
      <c r="AL275" s="1992"/>
      <c r="AM275" s="1827"/>
      <c r="AN275" s="1827"/>
      <c r="AO275" s="1827"/>
      <c r="AP275" s="1827"/>
      <c r="AQ275" s="1827"/>
      <c r="AR275" s="1827"/>
      <c r="AS275" s="1827"/>
      <c r="AT275" s="1827"/>
      <c r="AU275" s="1827"/>
      <c r="AV275" s="1827"/>
      <c r="AW275" s="1827"/>
      <c r="AX275" s="1827"/>
      <c r="AY275" s="1827"/>
      <c r="AZ275" s="1827"/>
      <c r="BA275" s="1827"/>
      <c r="BB275" s="1827"/>
      <c r="BC275" s="1827"/>
      <c r="BD275" s="1827"/>
      <c r="BE275" s="1827"/>
      <c r="BF275" s="1827"/>
      <c r="BG275" s="1639"/>
    </row>
    <row customHeight="1" ht="12">
      <c r="A276" s="1170" t="s">
        <v>1270</v>
      </c>
      <c r="B276" s="1170"/>
      <c r="C276" s="1170"/>
      <c r="D276" s="1164"/>
      <c r="E276" s="1174"/>
      <c r="F276" s="2541"/>
      <c r="G276" s="1194"/>
      <c r="H276" s="1194"/>
      <c r="I276" s="2539" t="s">
        <v>1321</v>
      </c>
      <c r="J276" s="2539"/>
      <c r="K276" s="2539"/>
      <c r="L276" s="1177"/>
      <c r="M276" s="1177"/>
      <c r="N276" s="1178"/>
      <c r="O276" s="1178"/>
      <c r="P276" s="1178"/>
      <c r="Q276" s="1178"/>
      <c r="R276" s="1178"/>
      <c r="S276" s="1178"/>
      <c r="T276" s="1178"/>
      <c r="U276" s="1178"/>
      <c r="V276" s="1178"/>
      <c r="W276" s="1178"/>
      <c r="X276" s="1178"/>
      <c r="Y276" s="1178"/>
      <c r="Z276" s="1178"/>
      <c r="AA276" s="1178"/>
      <c r="AB276" s="1178"/>
      <c r="AC276" s="1178"/>
      <c r="AD276" s="1178"/>
      <c r="AE276" s="1178"/>
      <c r="AF276" s="1178"/>
      <c r="AG276" s="1177"/>
      <c r="AH276" s="1177"/>
      <c r="AI276" s="1178"/>
      <c r="AJ276" s="1177"/>
      <c r="AK276" s="1178"/>
      <c r="AL276" s="1992"/>
      <c r="AM276" s="1827"/>
      <c r="AN276" s="1827"/>
      <c r="AO276" s="1827"/>
      <c r="AP276" s="1827"/>
      <c r="AQ276" s="1827"/>
      <c r="AR276" s="1827"/>
      <c r="AS276" s="1827"/>
      <c r="AT276" s="1827"/>
      <c r="AU276" s="1827"/>
      <c r="AV276" s="1827"/>
      <c r="AW276" s="1827"/>
      <c r="AX276" s="1827"/>
      <c r="AY276" s="1827"/>
      <c r="AZ276" s="1827"/>
      <c r="BA276" s="1827"/>
      <c r="BB276" s="1827"/>
      <c r="BC276" s="1827"/>
      <c r="BD276" s="1827"/>
      <c r="BE276" s="1827"/>
      <c r="BF276" s="1827"/>
      <c r="BG276" s="1639"/>
    </row>
    <row customHeight="1" ht="0.75">
      <c r="A277" s="1170" t="s">
        <v>1270</v>
      </c>
      <c r="B277" s="1170"/>
      <c r="C277" s="1170"/>
      <c r="D277" s="1164"/>
      <c r="E277" s="1174"/>
      <c r="F277" s="2540">
        <v>2025</v>
      </c>
      <c r="G277" s="2519"/>
      <c r="H277" s="2544" t="s">
        <v>394</v>
      </c>
      <c r="I277" s="2545"/>
      <c r="J277" s="2546"/>
      <c r="K277" s="2546"/>
      <c r="L277" s="2538"/>
      <c r="M277" s="2272"/>
      <c r="N277" s="2040"/>
      <c r="O277" s="2039"/>
      <c r="P277" s="2040"/>
      <c r="Q277" s="2040"/>
      <c r="R277" s="2040"/>
      <c r="S277" s="2040"/>
      <c r="T277" s="2040"/>
      <c r="U277" s="2040"/>
      <c r="V277" s="2040"/>
      <c r="W277" s="2040"/>
      <c r="X277" s="2040"/>
      <c r="Y277" s="2040"/>
      <c r="Z277" s="2040"/>
      <c r="AA277" s="2040"/>
      <c r="AB277" s="2040"/>
      <c r="AC277" s="2040"/>
      <c r="AD277" s="2040"/>
      <c r="AE277" s="2040"/>
      <c r="AF277" s="2542"/>
      <c r="AG277" s="2538"/>
      <c r="AH277" s="2538"/>
      <c r="AI277" s="2542"/>
      <c r="AJ277" s="2538"/>
      <c r="AK277" s="2538"/>
      <c r="AL277" s="1992"/>
      <c r="AM277" s="1827"/>
      <c r="AN277" s="1827"/>
      <c r="AO277" s="1827"/>
      <c r="AP277" s="1827"/>
      <c r="AQ277" s="1827"/>
      <c r="AR277" s="1827"/>
      <c r="AS277" s="1827"/>
      <c r="AT277" s="1827"/>
      <c r="AU277" s="1827"/>
      <c r="AV277" s="1827"/>
      <c r="AW277" s="1827"/>
      <c r="AX277" s="1827"/>
      <c r="AY277" s="1827"/>
      <c r="AZ277" s="1827"/>
      <c r="BA277" s="1827"/>
      <c r="BB277" s="1827"/>
      <c r="BC277" s="1827"/>
      <c r="BD277" s="1827"/>
      <c r="BE277" s="1827"/>
      <c r="BF277" s="1827"/>
      <c r="BG277" s="1639"/>
    </row>
    <row customHeight="1" ht="0.75">
      <c r="A278" s="1170" t="s">
        <v>1270</v>
      </c>
      <c r="B278" s="1170"/>
      <c r="C278" s="1170"/>
      <c r="D278" s="1164"/>
      <c r="E278" s="1174"/>
      <c r="F278" s="2540"/>
      <c r="G278" s="2519"/>
      <c r="H278" s="2544"/>
      <c r="I278" s="2545"/>
      <c r="J278" s="2546"/>
      <c r="K278" s="2546"/>
      <c r="L278" s="2538"/>
      <c r="M278" s="2272"/>
      <c r="N278" s="2547"/>
      <c r="O278" s="2548"/>
      <c r="P278" s="2592"/>
      <c r="Q278" s="2543"/>
      <c r="R278" s="2543"/>
      <c r="S278" s="2543"/>
      <c r="T278" s="2543"/>
      <c r="U278" s="2543"/>
      <c r="V278" s="2543"/>
      <c r="W278" s="2543"/>
      <c r="X278" s="2543"/>
      <c r="Y278" s="2543"/>
      <c r="Z278" s="2041"/>
      <c r="AA278" s="2042"/>
      <c r="AB278" s="2042"/>
      <c r="AC278" s="2043"/>
      <c r="AD278" s="2043"/>
      <c r="AE278" s="2044"/>
      <c r="AF278" s="2542"/>
      <c r="AG278" s="2538"/>
      <c r="AH278" s="2538"/>
      <c r="AI278" s="2542"/>
      <c r="AJ278" s="2538"/>
      <c r="AK278" s="2538"/>
      <c r="AL278" s="1992"/>
      <c r="AM278" s="1827"/>
      <c r="AN278" s="1827"/>
      <c r="AO278" s="1827"/>
      <c r="AP278" s="1827"/>
      <c r="AQ278" s="1827"/>
      <c r="AR278" s="1827"/>
      <c r="AS278" s="1827"/>
      <c r="AT278" s="1827"/>
      <c r="AU278" s="1827"/>
      <c r="AV278" s="1827"/>
      <c r="AW278" s="1827"/>
      <c r="AX278" s="1827"/>
      <c r="AY278" s="1827"/>
      <c r="AZ278" s="1827"/>
      <c r="BA278" s="1827"/>
      <c r="BB278" s="1827"/>
      <c r="BC278" s="1827"/>
      <c r="BD278" s="1827"/>
      <c r="BE278" s="1827"/>
      <c r="BF278" s="1827"/>
      <c r="BG278" s="1639"/>
    </row>
    <row customHeight="1" ht="0.75">
      <c r="A279" s="1170" t="s">
        <v>1270</v>
      </c>
      <c r="B279" s="1170"/>
      <c r="C279" s="1170"/>
      <c r="D279" s="1164"/>
      <c r="E279" s="1174"/>
      <c r="F279" s="2540"/>
      <c r="G279" s="2519"/>
      <c r="H279" s="2544"/>
      <c r="I279" s="2545"/>
      <c r="J279" s="2546"/>
      <c r="K279" s="2546"/>
      <c r="L279" s="2538"/>
      <c r="M279" s="2272"/>
      <c r="N279" s="2547"/>
      <c r="O279" s="2548"/>
      <c r="P279" s="2593"/>
      <c r="Q279" s="2543"/>
      <c r="R279" s="2543"/>
      <c r="S279" s="2543"/>
      <c r="T279" s="2543"/>
      <c r="U279" s="2543"/>
      <c r="V279" s="2543"/>
      <c r="W279" s="2543"/>
      <c r="X279" s="2543"/>
      <c r="Y279" s="2543"/>
      <c r="Z279" s="2045"/>
      <c r="AA279" s="2046"/>
      <c r="AB279" s="2047"/>
      <c r="AC279" s="2048"/>
      <c r="AD279" s="2047"/>
      <c r="AE279" s="2048"/>
      <c r="AF279" s="2542"/>
      <c r="AG279" s="2538"/>
      <c r="AH279" s="2538"/>
      <c r="AI279" s="2542"/>
      <c r="AJ279" s="2538"/>
      <c r="AK279" s="2538"/>
      <c r="AL279" s="1992"/>
      <c r="AM279" s="1827"/>
      <c r="AN279" s="1827"/>
      <c r="AO279" s="1827"/>
      <c r="AP279" s="1827"/>
      <c r="AQ279" s="1827"/>
      <c r="AR279" s="1827"/>
      <c r="AS279" s="1827"/>
      <c r="AT279" s="1827"/>
      <c r="AU279" s="1827"/>
      <c r="AV279" s="1827"/>
      <c r="AW279" s="1827"/>
      <c r="AX279" s="1827"/>
      <c r="AY279" s="1827"/>
      <c r="AZ279" s="1827"/>
      <c r="BA279" s="1827"/>
      <c r="BB279" s="1827"/>
      <c r="BC279" s="1827"/>
      <c r="BD279" s="1827"/>
      <c r="BE279" s="1827"/>
      <c r="BF279" s="1827"/>
      <c r="BG279" s="1639"/>
    </row>
    <row customHeight="1" ht="0.75">
      <c r="A280" s="1170" t="s">
        <v>1270</v>
      </c>
      <c r="B280" s="1170"/>
      <c r="C280" s="1170"/>
      <c r="D280" s="1164"/>
      <c r="E280" s="1174"/>
      <c r="F280" s="2540"/>
      <c r="G280" s="2519"/>
      <c r="H280" s="2544"/>
      <c r="I280" s="2545"/>
      <c r="J280" s="2546"/>
      <c r="K280" s="2546"/>
      <c r="L280" s="2538"/>
      <c r="M280" s="2272"/>
      <c r="N280" s="2547"/>
      <c r="O280" s="2548"/>
      <c r="P280" s="2594"/>
      <c r="Q280" s="2543"/>
      <c r="R280" s="2543"/>
      <c r="S280" s="2543"/>
      <c r="T280" s="2543"/>
      <c r="U280" s="2543"/>
      <c r="V280" s="2543"/>
      <c r="W280" s="2543"/>
      <c r="X280" s="2543"/>
      <c r="Y280" s="2543"/>
      <c r="Z280" s="2041"/>
      <c r="AA280" s="2042"/>
      <c r="AB280" s="2049"/>
      <c r="AC280" s="2043"/>
      <c r="AD280" s="2043"/>
      <c r="AE280" s="2050"/>
      <c r="AF280" s="2542"/>
      <c r="AG280" s="2538"/>
      <c r="AH280" s="2538"/>
      <c r="AI280" s="2542"/>
      <c r="AJ280" s="2538"/>
      <c r="AK280" s="2538"/>
      <c r="AL280" s="1992"/>
      <c r="AM280" s="1827"/>
      <c r="AN280" s="1827"/>
      <c r="AO280" s="1827"/>
      <c r="AP280" s="1827"/>
      <c r="AQ280" s="1827"/>
      <c r="AR280" s="1827"/>
      <c r="AS280" s="1827"/>
      <c r="AT280" s="1827"/>
      <c r="AU280" s="1827"/>
      <c r="AV280" s="1827"/>
      <c r="AW280" s="1827"/>
      <c r="AX280" s="1827"/>
      <c r="AY280" s="1827"/>
      <c r="AZ280" s="1827"/>
      <c r="BA280" s="1827"/>
      <c r="BB280" s="1827"/>
      <c r="BC280" s="1827"/>
      <c r="BD280" s="1827"/>
      <c r="BE280" s="1827"/>
      <c r="BF280" s="1827"/>
      <c r="BG280" s="1639"/>
    </row>
    <row customHeight="1" ht="0.75">
      <c r="A281" s="1170" t="s">
        <v>1270</v>
      </c>
      <c r="B281" s="1170"/>
      <c r="C281" s="1170"/>
      <c r="D281" s="1164"/>
      <c r="E281" s="1174"/>
      <c r="F281" s="2540"/>
      <c r="G281" s="2519"/>
      <c r="H281" s="2544"/>
      <c r="I281" s="2545"/>
      <c r="J281" s="2546"/>
      <c r="K281" s="2546"/>
      <c r="L281" s="2538"/>
      <c r="M281" s="2272"/>
      <c r="N281" s="2042"/>
      <c r="O281" s="2042"/>
      <c r="P281" s="2049"/>
      <c r="Q281" s="2042"/>
      <c r="R281" s="2042"/>
      <c r="S281" s="2042"/>
      <c r="T281" s="2042"/>
      <c r="U281" s="2042"/>
      <c r="V281" s="2042"/>
      <c r="W281" s="2042"/>
      <c r="X281" s="2042"/>
      <c r="Y281" s="2042"/>
      <c r="Z281" s="2042"/>
      <c r="AA281" s="2042"/>
      <c r="AB281" s="2042"/>
      <c r="AC281" s="2042"/>
      <c r="AD281" s="2042"/>
      <c r="AE281" s="2051"/>
      <c r="AF281" s="2542"/>
      <c r="AG281" s="2538"/>
      <c r="AH281" s="2538"/>
      <c r="AI281" s="2542"/>
      <c r="AJ281" s="2538"/>
      <c r="AK281" s="2538"/>
      <c r="AL281" s="1992"/>
      <c r="AM281" s="1827"/>
      <c r="AN281" s="1827"/>
      <c r="AO281" s="1827"/>
      <c r="AP281" s="1827"/>
      <c r="AQ281" s="1827"/>
      <c r="AR281" s="1827"/>
      <c r="AS281" s="1827"/>
      <c r="AT281" s="1827"/>
      <c r="AU281" s="1827"/>
      <c r="AV281" s="1827"/>
      <c r="AW281" s="1827"/>
      <c r="AX281" s="1827"/>
      <c r="AY281" s="1827"/>
      <c r="AZ281" s="1827"/>
      <c r="BA281" s="1827"/>
      <c r="BB281" s="1827"/>
      <c r="BC281" s="1827"/>
      <c r="BD281" s="1827"/>
      <c r="BE281" s="1827"/>
      <c r="BF281" s="1827"/>
      <c r="BG281" s="1639"/>
    </row>
    <row customHeight="1" ht="12">
      <c r="A282" s="1170" t="s">
        <v>1270</v>
      </c>
      <c r="B282" s="1170"/>
      <c r="C282" s="1170"/>
      <c r="D282" s="1164"/>
      <c r="E282" s="1174"/>
      <c r="F282" s="2541"/>
      <c r="G282" s="1194"/>
      <c r="H282" s="1194"/>
      <c r="I282" s="2539" t="s">
        <v>1321</v>
      </c>
      <c r="J282" s="2539"/>
      <c r="K282" s="2539"/>
      <c r="L282" s="1177"/>
      <c r="M282" s="1177"/>
      <c r="N282" s="1178"/>
      <c r="O282" s="1178"/>
      <c r="P282" s="1178"/>
      <c r="Q282" s="1178"/>
      <c r="R282" s="1178"/>
      <c r="S282" s="1178"/>
      <c r="T282" s="1178"/>
      <c r="U282" s="1178"/>
      <c r="V282" s="1178"/>
      <c r="W282" s="1178"/>
      <c r="X282" s="1178"/>
      <c r="Y282" s="1178"/>
      <c r="Z282" s="1178"/>
      <c r="AA282" s="1178"/>
      <c r="AB282" s="1178"/>
      <c r="AC282" s="1178"/>
      <c r="AD282" s="1178"/>
      <c r="AE282" s="1178"/>
      <c r="AF282" s="1178"/>
      <c r="AG282" s="1177"/>
      <c r="AH282" s="1177"/>
      <c r="AI282" s="1178"/>
      <c r="AJ282" s="1177"/>
      <c r="AK282" s="1178"/>
      <c r="AL282" s="1992"/>
      <c r="AM282" s="1827"/>
      <c r="AN282" s="1827"/>
      <c r="AO282" s="1827"/>
      <c r="AP282" s="1827"/>
      <c r="AQ282" s="1827"/>
      <c r="AR282" s="1827"/>
      <c r="AS282" s="1827"/>
      <c r="AT282" s="1827"/>
      <c r="AU282" s="1827"/>
      <c r="AV282" s="1827"/>
      <c r="AW282" s="1827"/>
      <c r="AX282" s="1827"/>
      <c r="AY282" s="1827"/>
      <c r="AZ282" s="1827"/>
      <c r="BA282" s="1827"/>
      <c r="BB282" s="1827"/>
      <c r="BC282" s="1827"/>
      <c r="BD282" s="1827"/>
      <c r="BE282" s="1827"/>
      <c r="BF282" s="1827"/>
      <c r="BG282" s="1639"/>
    </row>
    <row customHeight="1" ht="0.75">
      <c r="A283" s="1170" t="s">
        <v>1270</v>
      </c>
      <c r="B283" s="1170"/>
      <c r="C283" s="1170"/>
      <c r="D283" s="1164"/>
      <c r="E283" s="1174"/>
      <c r="F283" s="2540">
        <v>2026</v>
      </c>
      <c r="G283" s="2519"/>
      <c r="H283" s="2544" t="s">
        <v>394</v>
      </c>
      <c r="I283" s="2545"/>
      <c r="J283" s="2546"/>
      <c r="K283" s="2546"/>
      <c r="L283" s="2538"/>
      <c r="M283" s="2272"/>
      <c r="N283" s="2040"/>
      <c r="O283" s="2039"/>
      <c r="P283" s="2040"/>
      <c r="Q283" s="2040"/>
      <c r="R283" s="2040"/>
      <c r="S283" s="2040"/>
      <c r="T283" s="2040"/>
      <c r="U283" s="2040"/>
      <c r="V283" s="2040"/>
      <c r="W283" s="2040"/>
      <c r="X283" s="2040"/>
      <c r="Y283" s="2040"/>
      <c r="Z283" s="2040"/>
      <c r="AA283" s="2040"/>
      <c r="AB283" s="2040"/>
      <c r="AC283" s="2040"/>
      <c r="AD283" s="2040"/>
      <c r="AE283" s="2040"/>
      <c r="AF283" s="2542"/>
      <c r="AG283" s="2538"/>
      <c r="AH283" s="2538"/>
      <c r="AI283" s="2542"/>
      <c r="AJ283" s="2538"/>
      <c r="AK283" s="2538"/>
      <c r="AL283" s="1992"/>
      <c r="AM283" s="1827"/>
      <c r="AN283" s="1827"/>
      <c r="AO283" s="1827"/>
      <c r="AP283" s="1827"/>
      <c r="AQ283" s="1827"/>
      <c r="AR283" s="1827"/>
      <c r="AS283" s="1827"/>
      <c r="AT283" s="1827"/>
      <c r="AU283" s="1827"/>
      <c r="AV283" s="1827"/>
      <c r="AW283" s="1827"/>
      <c r="AX283" s="1827"/>
      <c r="AY283" s="1827"/>
      <c r="AZ283" s="1827"/>
      <c r="BA283" s="1827"/>
      <c r="BB283" s="1827"/>
      <c r="BC283" s="1827"/>
      <c r="BD283" s="1827"/>
      <c r="BE283" s="1827"/>
      <c r="BF283" s="1827"/>
      <c r="BG283" s="1639"/>
    </row>
    <row customHeight="1" ht="0.75">
      <c r="A284" s="1170" t="s">
        <v>1270</v>
      </c>
      <c r="B284" s="1170"/>
      <c r="C284" s="1170"/>
      <c r="D284" s="1164"/>
      <c r="E284" s="1174"/>
      <c r="F284" s="2540"/>
      <c r="G284" s="2519"/>
      <c r="H284" s="2544"/>
      <c r="I284" s="2545"/>
      <c r="J284" s="2546"/>
      <c r="K284" s="2546"/>
      <c r="L284" s="2538"/>
      <c r="M284" s="2272"/>
      <c r="N284" s="2547"/>
      <c r="O284" s="2548"/>
      <c r="P284" s="2592"/>
      <c r="Q284" s="2543"/>
      <c r="R284" s="2543"/>
      <c r="S284" s="2543"/>
      <c r="T284" s="2543"/>
      <c r="U284" s="2543"/>
      <c r="V284" s="2543"/>
      <c r="W284" s="2543"/>
      <c r="X284" s="2543"/>
      <c r="Y284" s="2543"/>
      <c r="Z284" s="2041"/>
      <c r="AA284" s="2042"/>
      <c r="AB284" s="2042"/>
      <c r="AC284" s="2043"/>
      <c r="AD284" s="2043"/>
      <c r="AE284" s="2044"/>
      <c r="AF284" s="2542"/>
      <c r="AG284" s="2538"/>
      <c r="AH284" s="2538"/>
      <c r="AI284" s="2542"/>
      <c r="AJ284" s="2538"/>
      <c r="AK284" s="2538"/>
      <c r="AL284" s="1992"/>
      <c r="AM284" s="1827"/>
      <c r="AN284" s="1827"/>
      <c r="AO284" s="1827"/>
      <c r="AP284" s="1827"/>
      <c r="AQ284" s="1827"/>
      <c r="AR284" s="1827"/>
      <c r="AS284" s="1827"/>
      <c r="AT284" s="1827"/>
      <c r="AU284" s="1827"/>
      <c r="AV284" s="1827"/>
      <c r="AW284" s="1827"/>
      <c r="AX284" s="1827"/>
      <c r="AY284" s="1827"/>
      <c r="AZ284" s="1827"/>
      <c r="BA284" s="1827"/>
      <c r="BB284" s="1827"/>
      <c r="BC284" s="1827"/>
      <c r="BD284" s="1827"/>
      <c r="BE284" s="1827"/>
      <c r="BF284" s="1827"/>
      <c r="BG284" s="1639"/>
    </row>
    <row customHeight="1" ht="0.75">
      <c r="A285" s="1170" t="s">
        <v>1270</v>
      </c>
      <c r="B285" s="1170"/>
      <c r="C285" s="1170"/>
      <c r="D285" s="1164"/>
      <c r="E285" s="1174"/>
      <c r="F285" s="2540"/>
      <c r="G285" s="2519"/>
      <c r="H285" s="2544"/>
      <c r="I285" s="2545"/>
      <c r="J285" s="2546"/>
      <c r="K285" s="2546"/>
      <c r="L285" s="2538"/>
      <c r="M285" s="2272"/>
      <c r="N285" s="2547"/>
      <c r="O285" s="2548"/>
      <c r="P285" s="2593"/>
      <c r="Q285" s="2543"/>
      <c r="R285" s="2543"/>
      <c r="S285" s="2543"/>
      <c r="T285" s="2543"/>
      <c r="U285" s="2543"/>
      <c r="V285" s="2543"/>
      <c r="W285" s="2543"/>
      <c r="X285" s="2543"/>
      <c r="Y285" s="2543"/>
      <c r="Z285" s="2045"/>
      <c r="AA285" s="2046"/>
      <c r="AB285" s="2047"/>
      <c r="AC285" s="2048"/>
      <c r="AD285" s="2047"/>
      <c r="AE285" s="2048"/>
      <c r="AF285" s="2542"/>
      <c r="AG285" s="2538"/>
      <c r="AH285" s="2538"/>
      <c r="AI285" s="2542"/>
      <c r="AJ285" s="2538"/>
      <c r="AK285" s="2538"/>
      <c r="AL285" s="1992"/>
      <c r="AM285" s="1827"/>
      <c r="AN285" s="1827"/>
      <c r="AO285" s="1827"/>
      <c r="AP285" s="1827"/>
      <c r="AQ285" s="1827"/>
      <c r="AR285" s="1827"/>
      <c r="AS285" s="1827"/>
      <c r="AT285" s="1827"/>
      <c r="AU285" s="1827"/>
      <c r="AV285" s="1827"/>
      <c r="AW285" s="1827"/>
      <c r="AX285" s="1827"/>
      <c r="AY285" s="1827"/>
      <c r="AZ285" s="1827"/>
      <c r="BA285" s="1827"/>
      <c r="BB285" s="1827"/>
      <c r="BC285" s="1827"/>
      <c r="BD285" s="1827"/>
      <c r="BE285" s="1827"/>
      <c r="BF285" s="1827"/>
      <c r="BG285" s="1639"/>
    </row>
    <row customHeight="1" ht="0.75">
      <c r="A286" s="1170" t="s">
        <v>1270</v>
      </c>
      <c r="B286" s="1170"/>
      <c r="C286" s="1170"/>
      <c r="D286" s="1164"/>
      <c r="E286" s="1174"/>
      <c r="F286" s="2540"/>
      <c r="G286" s="2519"/>
      <c r="H286" s="2544"/>
      <c r="I286" s="2545"/>
      <c r="J286" s="2546"/>
      <c r="K286" s="2546"/>
      <c r="L286" s="2538"/>
      <c r="M286" s="2272"/>
      <c r="N286" s="2547"/>
      <c r="O286" s="2548"/>
      <c r="P286" s="2594"/>
      <c r="Q286" s="2543"/>
      <c r="R286" s="2543"/>
      <c r="S286" s="2543"/>
      <c r="T286" s="2543"/>
      <c r="U286" s="2543"/>
      <c r="V286" s="2543"/>
      <c r="W286" s="2543"/>
      <c r="X286" s="2543"/>
      <c r="Y286" s="2543"/>
      <c r="Z286" s="2041"/>
      <c r="AA286" s="2042"/>
      <c r="AB286" s="2049"/>
      <c r="AC286" s="2043"/>
      <c r="AD286" s="2043"/>
      <c r="AE286" s="2050"/>
      <c r="AF286" s="2542"/>
      <c r="AG286" s="2538"/>
      <c r="AH286" s="2538"/>
      <c r="AI286" s="2542"/>
      <c r="AJ286" s="2538"/>
      <c r="AK286" s="2538"/>
      <c r="AL286" s="1992"/>
      <c r="AM286" s="1827"/>
      <c r="AN286" s="1827"/>
      <c r="AO286" s="1827"/>
      <c r="AP286" s="1827"/>
      <c r="AQ286" s="1827"/>
      <c r="AR286" s="1827"/>
      <c r="AS286" s="1827"/>
      <c r="AT286" s="1827"/>
      <c r="AU286" s="1827"/>
      <c r="AV286" s="1827"/>
      <c r="AW286" s="1827"/>
      <c r="AX286" s="1827"/>
      <c r="AY286" s="1827"/>
      <c r="AZ286" s="1827"/>
      <c r="BA286" s="1827"/>
      <c r="BB286" s="1827"/>
      <c r="BC286" s="1827"/>
      <c r="BD286" s="1827"/>
      <c r="BE286" s="1827"/>
      <c r="BF286" s="1827"/>
      <c r="BG286" s="1639"/>
    </row>
    <row customHeight="1" ht="0.75">
      <c r="A287" s="1170" t="s">
        <v>1270</v>
      </c>
      <c r="B287" s="1170"/>
      <c r="C287" s="1170"/>
      <c r="D287" s="1164"/>
      <c r="E287" s="1174"/>
      <c r="F287" s="2540"/>
      <c r="G287" s="2519"/>
      <c r="H287" s="2544"/>
      <c r="I287" s="2545"/>
      <c r="J287" s="2546"/>
      <c r="K287" s="2546"/>
      <c r="L287" s="2538"/>
      <c r="M287" s="2272"/>
      <c r="N287" s="2042"/>
      <c r="O287" s="2042"/>
      <c r="P287" s="2049"/>
      <c r="Q287" s="2042"/>
      <c r="R287" s="2042"/>
      <c r="S287" s="2042"/>
      <c r="T287" s="2042"/>
      <c r="U287" s="2042"/>
      <c r="V287" s="2042"/>
      <c r="W287" s="2042"/>
      <c r="X287" s="2042"/>
      <c r="Y287" s="2042"/>
      <c r="Z287" s="2042"/>
      <c r="AA287" s="2042"/>
      <c r="AB287" s="2042"/>
      <c r="AC287" s="2042"/>
      <c r="AD287" s="2042"/>
      <c r="AE287" s="2051"/>
      <c r="AF287" s="2542"/>
      <c r="AG287" s="2538"/>
      <c r="AH287" s="2538"/>
      <c r="AI287" s="2542"/>
      <c r="AJ287" s="2538"/>
      <c r="AK287" s="2538"/>
      <c r="AL287" s="1992"/>
      <c r="AM287" s="1827"/>
      <c r="AN287" s="1827"/>
      <c r="AO287" s="1827"/>
      <c r="AP287" s="1827"/>
      <c r="AQ287" s="1827"/>
      <c r="AR287" s="1827"/>
      <c r="AS287" s="1827"/>
      <c r="AT287" s="1827"/>
      <c r="AU287" s="1827"/>
      <c r="AV287" s="1827"/>
      <c r="AW287" s="1827"/>
      <c r="AX287" s="1827"/>
      <c r="AY287" s="1827"/>
      <c r="AZ287" s="1827"/>
      <c r="BA287" s="1827"/>
      <c r="BB287" s="1827"/>
      <c r="BC287" s="1827"/>
      <c r="BD287" s="1827"/>
      <c r="BE287" s="1827"/>
      <c r="BF287" s="1827"/>
      <c r="BG287" s="1639"/>
    </row>
    <row customHeight="1" ht="12">
      <c r="A288" s="1170" t="s">
        <v>1270</v>
      </c>
      <c r="B288" s="1170"/>
      <c r="C288" s="1170"/>
      <c r="D288" s="1164"/>
      <c r="E288" s="1174"/>
      <c r="F288" s="2541"/>
      <c r="G288" s="1194"/>
      <c r="H288" s="1194"/>
      <c r="I288" s="2539" t="s">
        <v>1321</v>
      </c>
      <c r="J288" s="2539"/>
      <c r="K288" s="2539"/>
      <c r="L288" s="1177"/>
      <c r="M288" s="1177"/>
      <c r="N288" s="1178"/>
      <c r="O288" s="1178"/>
      <c r="P288" s="1178"/>
      <c r="Q288" s="1178"/>
      <c r="R288" s="1178"/>
      <c r="S288" s="1178"/>
      <c r="T288" s="1178"/>
      <c r="U288" s="1178"/>
      <c r="V288" s="1178"/>
      <c r="W288" s="1178"/>
      <c r="X288" s="1178"/>
      <c r="Y288" s="1178"/>
      <c r="Z288" s="1178"/>
      <c r="AA288" s="1178"/>
      <c r="AB288" s="1178"/>
      <c r="AC288" s="1178"/>
      <c r="AD288" s="1178"/>
      <c r="AE288" s="1178"/>
      <c r="AF288" s="1178"/>
      <c r="AG288" s="1177"/>
      <c r="AH288" s="1177"/>
      <c r="AI288" s="1178"/>
      <c r="AJ288" s="1177"/>
      <c r="AK288" s="1178"/>
      <c r="AL288" s="1992"/>
      <c r="AM288" s="1827"/>
      <c r="AN288" s="1827"/>
      <c r="AO288" s="1827"/>
      <c r="AP288" s="1827"/>
      <c r="AQ288" s="1827"/>
      <c r="AR288" s="1827"/>
      <c r="AS288" s="1827"/>
      <c r="AT288" s="1827"/>
      <c r="AU288" s="1827"/>
      <c r="AV288" s="1827"/>
      <c r="AW288" s="1827"/>
      <c r="AX288" s="1827"/>
      <c r="AY288" s="1827"/>
      <c r="AZ288" s="1827"/>
      <c r="BA288" s="1827"/>
      <c r="BB288" s="1827"/>
      <c r="BC288" s="1827"/>
      <c r="BD288" s="1827"/>
      <c r="BE288" s="1827"/>
      <c r="BF288" s="1827"/>
      <c r="BG288" s="1639"/>
    </row>
    <row customHeight="1" ht="0.75">
      <c r="A289" s="1170" t="s">
        <v>1270</v>
      </c>
      <c r="B289" s="1170"/>
      <c r="C289" s="1170"/>
      <c r="D289" s="1164"/>
      <c r="E289" s="1174"/>
      <c r="F289" s="2540">
        <v>2027</v>
      </c>
      <c r="G289" s="2519"/>
      <c r="H289" s="2544" t="s">
        <v>394</v>
      </c>
      <c r="I289" s="2545"/>
      <c r="J289" s="2546"/>
      <c r="K289" s="2546"/>
      <c r="L289" s="2538"/>
      <c r="M289" s="2272"/>
      <c r="N289" s="2040"/>
      <c r="O289" s="2039"/>
      <c r="P289" s="2040"/>
      <c r="Q289" s="2040"/>
      <c r="R289" s="2040"/>
      <c r="S289" s="2040"/>
      <c r="T289" s="2040"/>
      <c r="U289" s="2040"/>
      <c r="V289" s="2040"/>
      <c r="W289" s="2040"/>
      <c r="X289" s="2040"/>
      <c r="Y289" s="2040"/>
      <c r="Z289" s="2040"/>
      <c r="AA289" s="2040"/>
      <c r="AB289" s="2040"/>
      <c r="AC289" s="2040"/>
      <c r="AD289" s="2040"/>
      <c r="AE289" s="2040"/>
      <c r="AF289" s="2542"/>
      <c r="AG289" s="2538"/>
      <c r="AH289" s="2538"/>
      <c r="AI289" s="2542"/>
      <c r="AJ289" s="2538"/>
      <c r="AK289" s="2538"/>
      <c r="AL289" s="1992"/>
      <c r="AM289" s="1827"/>
      <c r="AN289" s="1827"/>
      <c r="AO289" s="1827"/>
      <c r="AP289" s="1827"/>
      <c r="AQ289" s="1827"/>
      <c r="AR289" s="1827"/>
      <c r="AS289" s="1827"/>
      <c r="AT289" s="1827"/>
      <c r="AU289" s="1827"/>
      <c r="AV289" s="1827"/>
      <c r="AW289" s="1827"/>
      <c r="AX289" s="1827"/>
      <c r="AY289" s="1827"/>
      <c r="AZ289" s="1827"/>
      <c r="BA289" s="1827"/>
      <c r="BB289" s="1827"/>
      <c r="BC289" s="1827"/>
      <c r="BD289" s="1827"/>
      <c r="BE289" s="1827"/>
      <c r="BF289" s="1827"/>
      <c r="BG289" s="1639"/>
    </row>
    <row customHeight="1" ht="0.75">
      <c r="A290" s="1170" t="s">
        <v>1270</v>
      </c>
      <c r="B290" s="1170"/>
      <c r="C290" s="1170"/>
      <c r="D290" s="1164"/>
      <c r="E290" s="1174"/>
      <c r="F290" s="2540"/>
      <c r="G290" s="2519"/>
      <c r="H290" s="2544"/>
      <c r="I290" s="2545"/>
      <c r="J290" s="2546"/>
      <c r="K290" s="2546"/>
      <c r="L290" s="2538"/>
      <c r="M290" s="2272"/>
      <c r="N290" s="2547"/>
      <c r="O290" s="2548"/>
      <c r="P290" s="2592"/>
      <c r="Q290" s="2543"/>
      <c r="R290" s="2543"/>
      <c r="S290" s="2543"/>
      <c r="T290" s="2543"/>
      <c r="U290" s="2543"/>
      <c r="V290" s="2543"/>
      <c r="W290" s="2543"/>
      <c r="X290" s="2543"/>
      <c r="Y290" s="2543"/>
      <c r="Z290" s="2041"/>
      <c r="AA290" s="2042"/>
      <c r="AB290" s="2042"/>
      <c r="AC290" s="2043"/>
      <c r="AD290" s="2043"/>
      <c r="AE290" s="2044"/>
      <c r="AF290" s="2542"/>
      <c r="AG290" s="2538"/>
      <c r="AH290" s="2538"/>
      <c r="AI290" s="2542"/>
      <c r="AJ290" s="2538"/>
      <c r="AK290" s="2538"/>
      <c r="AL290" s="1992"/>
      <c r="AM290" s="1827"/>
      <c r="AN290" s="1827"/>
      <c r="AO290" s="1827"/>
      <c r="AP290" s="1827"/>
      <c r="AQ290" s="1827"/>
      <c r="AR290" s="1827"/>
      <c r="AS290" s="1827"/>
      <c r="AT290" s="1827"/>
      <c r="AU290" s="1827"/>
      <c r="AV290" s="1827"/>
      <c r="AW290" s="1827"/>
      <c r="AX290" s="1827"/>
      <c r="AY290" s="1827"/>
      <c r="AZ290" s="1827"/>
      <c r="BA290" s="1827"/>
      <c r="BB290" s="1827"/>
      <c r="BC290" s="1827"/>
      <c r="BD290" s="1827"/>
      <c r="BE290" s="1827"/>
      <c r="BF290" s="1827"/>
      <c r="BG290" s="1639"/>
    </row>
    <row customHeight="1" ht="0.75">
      <c r="A291" s="1170" t="s">
        <v>1270</v>
      </c>
      <c r="B291" s="1170"/>
      <c r="C291" s="1170"/>
      <c r="D291" s="1164"/>
      <c r="E291" s="1174"/>
      <c r="F291" s="2540"/>
      <c r="G291" s="2519"/>
      <c r="H291" s="2544"/>
      <c r="I291" s="2545"/>
      <c r="J291" s="2546"/>
      <c r="K291" s="2546"/>
      <c r="L291" s="2538"/>
      <c r="M291" s="2272"/>
      <c r="N291" s="2547"/>
      <c r="O291" s="2548"/>
      <c r="P291" s="2593"/>
      <c r="Q291" s="2543"/>
      <c r="R291" s="2543"/>
      <c r="S291" s="2543"/>
      <c r="T291" s="2543"/>
      <c r="U291" s="2543"/>
      <c r="V291" s="2543"/>
      <c r="W291" s="2543"/>
      <c r="X291" s="2543"/>
      <c r="Y291" s="2543"/>
      <c r="Z291" s="2045"/>
      <c r="AA291" s="2046"/>
      <c r="AB291" s="2047"/>
      <c r="AC291" s="2048"/>
      <c r="AD291" s="2047"/>
      <c r="AE291" s="2048"/>
      <c r="AF291" s="2542"/>
      <c r="AG291" s="2538"/>
      <c r="AH291" s="2538"/>
      <c r="AI291" s="2542"/>
      <c r="AJ291" s="2538"/>
      <c r="AK291" s="2538"/>
      <c r="AL291" s="1992"/>
      <c r="AM291" s="1827"/>
      <c r="AN291" s="1827"/>
      <c r="AO291" s="1827"/>
      <c r="AP291" s="1827"/>
      <c r="AQ291" s="1827"/>
      <c r="AR291" s="1827"/>
      <c r="AS291" s="1827"/>
      <c r="AT291" s="1827"/>
      <c r="AU291" s="1827"/>
      <c r="AV291" s="1827"/>
      <c r="AW291" s="1827"/>
      <c r="AX291" s="1827"/>
      <c r="AY291" s="1827"/>
      <c r="AZ291" s="1827"/>
      <c r="BA291" s="1827"/>
      <c r="BB291" s="1827"/>
      <c r="BC291" s="1827"/>
      <c r="BD291" s="1827"/>
      <c r="BE291" s="1827"/>
      <c r="BF291" s="1827"/>
      <c r="BG291" s="1639"/>
    </row>
    <row customHeight="1" ht="0.75">
      <c r="A292" s="1170" t="s">
        <v>1270</v>
      </c>
      <c r="B292" s="1170"/>
      <c r="C292" s="1170"/>
      <c r="D292" s="1164"/>
      <c r="E292" s="1174"/>
      <c r="F292" s="2540"/>
      <c r="G292" s="2519"/>
      <c r="H292" s="2544"/>
      <c r="I292" s="2545"/>
      <c r="J292" s="2546"/>
      <c r="K292" s="2546"/>
      <c r="L292" s="2538"/>
      <c r="M292" s="2272"/>
      <c r="N292" s="2547"/>
      <c r="O292" s="2548"/>
      <c r="P292" s="2594"/>
      <c r="Q292" s="2543"/>
      <c r="R292" s="2543"/>
      <c r="S292" s="2543"/>
      <c r="T292" s="2543"/>
      <c r="U292" s="2543"/>
      <c r="V292" s="2543"/>
      <c r="W292" s="2543"/>
      <c r="X292" s="2543"/>
      <c r="Y292" s="2543"/>
      <c r="Z292" s="2041"/>
      <c r="AA292" s="2042"/>
      <c r="AB292" s="2049"/>
      <c r="AC292" s="2043"/>
      <c r="AD292" s="2043"/>
      <c r="AE292" s="2050"/>
      <c r="AF292" s="2542"/>
      <c r="AG292" s="2538"/>
      <c r="AH292" s="2538"/>
      <c r="AI292" s="2542"/>
      <c r="AJ292" s="2538"/>
      <c r="AK292" s="2538"/>
      <c r="AL292" s="1992"/>
      <c r="AM292" s="1827"/>
      <c r="AN292" s="1827"/>
      <c r="AO292" s="1827"/>
      <c r="AP292" s="1827"/>
      <c r="AQ292" s="1827"/>
      <c r="AR292" s="1827"/>
      <c r="AS292" s="1827"/>
      <c r="AT292" s="1827"/>
      <c r="AU292" s="1827"/>
      <c r="AV292" s="1827"/>
      <c r="AW292" s="1827"/>
      <c r="AX292" s="1827"/>
      <c r="AY292" s="1827"/>
      <c r="AZ292" s="1827"/>
      <c r="BA292" s="1827"/>
      <c r="BB292" s="1827"/>
      <c r="BC292" s="1827"/>
      <c r="BD292" s="1827"/>
      <c r="BE292" s="1827"/>
      <c r="BF292" s="1827"/>
      <c r="BG292" s="1639"/>
    </row>
    <row customHeight="1" ht="0.75">
      <c r="A293" s="1170" t="s">
        <v>1270</v>
      </c>
      <c r="B293" s="1170"/>
      <c r="C293" s="1170"/>
      <c r="D293" s="1164"/>
      <c r="E293" s="1174"/>
      <c r="F293" s="2540"/>
      <c r="G293" s="2519"/>
      <c r="H293" s="2544"/>
      <c r="I293" s="2545"/>
      <c r="J293" s="2546"/>
      <c r="K293" s="2546"/>
      <c r="L293" s="2538"/>
      <c r="M293" s="2272"/>
      <c r="N293" s="2042"/>
      <c r="O293" s="2042"/>
      <c r="P293" s="2049"/>
      <c r="Q293" s="2042"/>
      <c r="R293" s="2042"/>
      <c r="S293" s="2042"/>
      <c r="T293" s="2042"/>
      <c r="U293" s="2042"/>
      <c r="V293" s="2042"/>
      <c r="W293" s="2042"/>
      <c r="X293" s="2042"/>
      <c r="Y293" s="2042"/>
      <c r="Z293" s="2042"/>
      <c r="AA293" s="2042"/>
      <c r="AB293" s="2042"/>
      <c r="AC293" s="2042"/>
      <c r="AD293" s="2042"/>
      <c r="AE293" s="2051"/>
      <c r="AF293" s="2542"/>
      <c r="AG293" s="2538"/>
      <c r="AH293" s="2538"/>
      <c r="AI293" s="2542"/>
      <c r="AJ293" s="2538"/>
      <c r="AK293" s="2538"/>
      <c r="AL293" s="1992"/>
      <c r="AM293" s="1827"/>
      <c r="AN293" s="1827"/>
      <c r="AO293" s="1827"/>
      <c r="AP293" s="1827"/>
      <c r="AQ293" s="1827"/>
      <c r="AR293" s="1827"/>
      <c r="AS293" s="1827"/>
      <c r="AT293" s="1827"/>
      <c r="AU293" s="1827"/>
      <c r="AV293" s="1827"/>
      <c r="AW293" s="1827"/>
      <c r="AX293" s="1827"/>
      <c r="AY293" s="1827"/>
      <c r="AZ293" s="1827"/>
      <c r="BA293" s="1827"/>
      <c r="BB293" s="1827"/>
      <c r="BC293" s="1827"/>
      <c r="BD293" s="1827"/>
      <c r="BE293" s="1827"/>
      <c r="BF293" s="1827"/>
      <c r="BG293" s="1639"/>
    </row>
    <row customHeight="1" ht="12">
      <c r="A294" s="1170" t="s">
        <v>1270</v>
      </c>
      <c r="B294" s="1170"/>
      <c r="C294" s="1170"/>
      <c r="D294" s="1164"/>
      <c r="E294" s="1174"/>
      <c r="F294" s="2541"/>
      <c r="G294" s="1194"/>
      <c r="H294" s="1194"/>
      <c r="I294" s="2539" t="s">
        <v>1321</v>
      </c>
      <c r="J294" s="2539"/>
      <c r="K294" s="2539"/>
      <c r="L294" s="1177"/>
      <c r="M294" s="1177"/>
      <c r="N294" s="1178"/>
      <c r="O294" s="1178"/>
      <c r="P294" s="1178"/>
      <c r="Q294" s="1178"/>
      <c r="R294" s="1178"/>
      <c r="S294" s="1178"/>
      <c r="T294" s="1178"/>
      <c r="U294" s="1178"/>
      <c r="V294" s="1178"/>
      <c r="W294" s="1178"/>
      <c r="X294" s="1178"/>
      <c r="Y294" s="1178"/>
      <c r="Z294" s="1178"/>
      <c r="AA294" s="1178"/>
      <c r="AB294" s="1178"/>
      <c r="AC294" s="1178"/>
      <c r="AD294" s="1178"/>
      <c r="AE294" s="1178"/>
      <c r="AF294" s="1178"/>
      <c r="AG294" s="1177"/>
      <c r="AH294" s="1177"/>
      <c r="AI294" s="1178"/>
      <c r="AJ294" s="1177"/>
      <c r="AK294" s="1178"/>
      <c r="AL294" s="1992"/>
      <c r="AM294" s="1827"/>
      <c r="AN294" s="1827"/>
      <c r="AO294" s="1827"/>
      <c r="AP294" s="1827"/>
      <c r="AQ294" s="1827"/>
      <c r="AR294" s="1827"/>
      <c r="AS294" s="1827"/>
      <c r="AT294" s="1827"/>
      <c r="AU294" s="1827"/>
      <c r="AV294" s="1827"/>
      <c r="AW294" s="1827"/>
      <c r="AX294" s="1827"/>
      <c r="AY294" s="1827"/>
      <c r="AZ294" s="1827"/>
      <c r="BA294" s="1827"/>
      <c r="BB294" s="1827"/>
      <c r="BC294" s="1827"/>
      <c r="BD294" s="1827"/>
      <c r="BE294" s="1827"/>
      <c r="BF294" s="1827"/>
      <c r="BG294" s="1639"/>
    </row>
    <row customHeight="1" ht="0.75">
      <c r="A295" s="1170" t="s">
        <v>1270</v>
      </c>
      <c r="B295" s="1170"/>
      <c r="C295" s="1170"/>
      <c r="D295" s="1164"/>
      <c r="E295" s="1174"/>
      <c r="F295" s="2540">
        <v>2028</v>
      </c>
      <c r="G295" s="2519"/>
      <c r="H295" s="2544" t="s">
        <v>394</v>
      </c>
      <c r="I295" s="2545"/>
      <c r="J295" s="2546"/>
      <c r="K295" s="2546"/>
      <c r="L295" s="2538"/>
      <c r="M295" s="2272"/>
      <c r="N295" s="2040"/>
      <c r="O295" s="2039"/>
      <c r="P295" s="2040"/>
      <c r="Q295" s="2040"/>
      <c r="R295" s="2040"/>
      <c r="S295" s="2040"/>
      <c r="T295" s="2040"/>
      <c r="U295" s="2040"/>
      <c r="V295" s="2040"/>
      <c r="W295" s="2040"/>
      <c r="X295" s="2040"/>
      <c r="Y295" s="2040"/>
      <c r="Z295" s="2040"/>
      <c r="AA295" s="2040"/>
      <c r="AB295" s="2040"/>
      <c r="AC295" s="2040"/>
      <c r="AD295" s="2040"/>
      <c r="AE295" s="2040"/>
      <c r="AF295" s="2542"/>
      <c r="AG295" s="2538"/>
      <c r="AH295" s="2538"/>
      <c r="AI295" s="2542"/>
      <c r="AJ295" s="2538"/>
      <c r="AK295" s="2538"/>
      <c r="AL295" s="1992"/>
      <c r="AM295" s="1827"/>
      <c r="AN295" s="1827"/>
      <c r="AO295" s="1827"/>
      <c r="AP295" s="1827"/>
      <c r="AQ295" s="1827"/>
      <c r="AR295" s="1827"/>
      <c r="AS295" s="1827"/>
      <c r="AT295" s="1827"/>
      <c r="AU295" s="1827"/>
      <c r="AV295" s="1827"/>
      <c r="AW295" s="1827"/>
      <c r="AX295" s="1827"/>
      <c r="AY295" s="1827"/>
      <c r="AZ295" s="1827"/>
      <c r="BA295" s="1827"/>
      <c r="BB295" s="1827"/>
      <c r="BC295" s="1827"/>
      <c r="BD295" s="1827"/>
      <c r="BE295" s="1827"/>
      <c r="BF295" s="1827"/>
      <c r="BG295" s="1639"/>
    </row>
    <row customHeight="1" ht="0.75">
      <c r="A296" s="1170" t="s">
        <v>1270</v>
      </c>
      <c r="B296" s="1170"/>
      <c r="C296" s="1170"/>
      <c r="D296" s="1164"/>
      <c r="E296" s="1174"/>
      <c r="F296" s="2540"/>
      <c r="G296" s="2519"/>
      <c r="H296" s="2544"/>
      <c r="I296" s="2545"/>
      <c r="J296" s="2546"/>
      <c r="K296" s="2546"/>
      <c r="L296" s="2538"/>
      <c r="M296" s="2272"/>
      <c r="N296" s="2547"/>
      <c r="O296" s="2548"/>
      <c r="P296" s="2592"/>
      <c r="Q296" s="2543"/>
      <c r="R296" s="2543"/>
      <c r="S296" s="2543"/>
      <c r="T296" s="2543"/>
      <c r="U296" s="2543"/>
      <c r="V296" s="2543"/>
      <c r="W296" s="2543"/>
      <c r="X296" s="2543"/>
      <c r="Y296" s="2543"/>
      <c r="Z296" s="2041"/>
      <c r="AA296" s="2042"/>
      <c r="AB296" s="2042"/>
      <c r="AC296" s="2043"/>
      <c r="AD296" s="2043"/>
      <c r="AE296" s="2044"/>
      <c r="AF296" s="2542"/>
      <c r="AG296" s="2538"/>
      <c r="AH296" s="2538"/>
      <c r="AI296" s="2542"/>
      <c r="AJ296" s="2538"/>
      <c r="AK296" s="2538"/>
      <c r="AL296" s="1992"/>
      <c r="AM296" s="1827"/>
      <c r="AN296" s="1827"/>
      <c r="AO296" s="1827"/>
      <c r="AP296" s="1827"/>
      <c r="AQ296" s="1827"/>
      <c r="AR296" s="1827"/>
      <c r="AS296" s="1827"/>
      <c r="AT296" s="1827"/>
      <c r="AU296" s="1827"/>
      <c r="AV296" s="1827"/>
      <c r="AW296" s="1827"/>
      <c r="AX296" s="1827"/>
      <c r="AY296" s="1827"/>
      <c r="AZ296" s="1827"/>
      <c r="BA296" s="1827"/>
      <c r="BB296" s="1827"/>
      <c r="BC296" s="1827"/>
      <c r="BD296" s="1827"/>
      <c r="BE296" s="1827"/>
      <c r="BF296" s="1827"/>
      <c r="BG296" s="1639"/>
    </row>
    <row customHeight="1" ht="0.75">
      <c r="A297" s="1170" t="s">
        <v>1270</v>
      </c>
      <c r="B297" s="1170"/>
      <c r="C297" s="1170"/>
      <c r="D297" s="1164"/>
      <c r="E297" s="1174"/>
      <c r="F297" s="2540"/>
      <c r="G297" s="2519"/>
      <c r="H297" s="2544"/>
      <c r="I297" s="2545"/>
      <c r="J297" s="2546"/>
      <c r="K297" s="2546"/>
      <c r="L297" s="2538"/>
      <c r="M297" s="2272"/>
      <c r="N297" s="2547"/>
      <c r="O297" s="2548"/>
      <c r="P297" s="2593"/>
      <c r="Q297" s="2543"/>
      <c r="R297" s="2543"/>
      <c r="S297" s="2543"/>
      <c r="T297" s="2543"/>
      <c r="U297" s="2543"/>
      <c r="V297" s="2543"/>
      <c r="W297" s="2543"/>
      <c r="X297" s="2543"/>
      <c r="Y297" s="2543"/>
      <c r="Z297" s="2045"/>
      <c r="AA297" s="2046"/>
      <c r="AB297" s="2047"/>
      <c r="AC297" s="2048"/>
      <c r="AD297" s="2047"/>
      <c r="AE297" s="2048"/>
      <c r="AF297" s="2542"/>
      <c r="AG297" s="2538"/>
      <c r="AH297" s="2538"/>
      <c r="AI297" s="2542"/>
      <c r="AJ297" s="2538"/>
      <c r="AK297" s="2538"/>
      <c r="AL297" s="1992"/>
      <c r="AM297" s="1827"/>
      <c r="AN297" s="1827"/>
      <c r="AO297" s="1827"/>
      <c r="AP297" s="1827"/>
      <c r="AQ297" s="1827"/>
      <c r="AR297" s="1827"/>
      <c r="AS297" s="1827"/>
      <c r="AT297" s="1827"/>
      <c r="AU297" s="1827"/>
      <c r="AV297" s="1827"/>
      <c r="AW297" s="1827"/>
      <c r="AX297" s="1827"/>
      <c r="AY297" s="1827"/>
      <c r="AZ297" s="1827"/>
      <c r="BA297" s="1827"/>
      <c r="BB297" s="1827"/>
      <c r="BC297" s="1827"/>
      <c r="BD297" s="1827"/>
      <c r="BE297" s="1827"/>
      <c r="BF297" s="1827"/>
      <c r="BG297" s="1639"/>
    </row>
    <row customHeight="1" ht="0.75">
      <c r="A298" s="1170" t="s">
        <v>1270</v>
      </c>
      <c r="B298" s="1170"/>
      <c r="C298" s="1170"/>
      <c r="D298" s="1164"/>
      <c r="E298" s="1174"/>
      <c r="F298" s="2540"/>
      <c r="G298" s="2519"/>
      <c r="H298" s="2544"/>
      <c r="I298" s="2545"/>
      <c r="J298" s="2546"/>
      <c r="K298" s="2546"/>
      <c r="L298" s="2538"/>
      <c r="M298" s="2272"/>
      <c r="N298" s="2547"/>
      <c r="O298" s="2548"/>
      <c r="P298" s="2594"/>
      <c r="Q298" s="2543"/>
      <c r="R298" s="2543"/>
      <c r="S298" s="2543"/>
      <c r="T298" s="2543"/>
      <c r="U298" s="2543"/>
      <c r="V298" s="2543"/>
      <c r="W298" s="2543"/>
      <c r="X298" s="2543"/>
      <c r="Y298" s="2543"/>
      <c r="Z298" s="2041"/>
      <c r="AA298" s="2042"/>
      <c r="AB298" s="2049"/>
      <c r="AC298" s="2043"/>
      <c r="AD298" s="2043"/>
      <c r="AE298" s="2050"/>
      <c r="AF298" s="2542"/>
      <c r="AG298" s="2538"/>
      <c r="AH298" s="2538"/>
      <c r="AI298" s="2542"/>
      <c r="AJ298" s="2538"/>
      <c r="AK298" s="2538"/>
      <c r="AL298" s="1992"/>
      <c r="AM298" s="1827"/>
      <c r="AN298" s="1827"/>
      <c r="AO298" s="1827"/>
      <c r="AP298" s="1827"/>
      <c r="AQ298" s="1827"/>
      <c r="AR298" s="1827"/>
      <c r="AS298" s="1827"/>
      <c r="AT298" s="1827"/>
      <c r="AU298" s="1827"/>
      <c r="AV298" s="1827"/>
      <c r="AW298" s="1827"/>
      <c r="AX298" s="1827"/>
      <c r="AY298" s="1827"/>
      <c r="AZ298" s="1827"/>
      <c r="BA298" s="1827"/>
      <c r="BB298" s="1827"/>
      <c r="BC298" s="1827"/>
      <c r="BD298" s="1827"/>
      <c r="BE298" s="1827"/>
      <c r="BF298" s="1827"/>
      <c r="BG298" s="1639"/>
    </row>
    <row customHeight="1" ht="0.75">
      <c r="A299" s="1170" t="s">
        <v>1270</v>
      </c>
      <c r="B299" s="1170"/>
      <c r="C299" s="1170"/>
      <c r="D299" s="1164"/>
      <c r="E299" s="1174"/>
      <c r="F299" s="2540"/>
      <c r="G299" s="2519"/>
      <c r="H299" s="2544"/>
      <c r="I299" s="2545"/>
      <c r="J299" s="2546"/>
      <c r="K299" s="2546"/>
      <c r="L299" s="2538"/>
      <c r="M299" s="2272"/>
      <c r="N299" s="2042"/>
      <c r="O299" s="2042"/>
      <c r="P299" s="2049"/>
      <c r="Q299" s="2042"/>
      <c r="R299" s="2042"/>
      <c r="S299" s="2042"/>
      <c r="T299" s="2042"/>
      <c r="U299" s="2042"/>
      <c r="V299" s="2042"/>
      <c r="W299" s="2042"/>
      <c r="X299" s="2042"/>
      <c r="Y299" s="2042"/>
      <c r="Z299" s="2042"/>
      <c r="AA299" s="2042"/>
      <c r="AB299" s="2042"/>
      <c r="AC299" s="2042"/>
      <c r="AD299" s="2042"/>
      <c r="AE299" s="2051"/>
      <c r="AF299" s="2542"/>
      <c r="AG299" s="2538"/>
      <c r="AH299" s="2538"/>
      <c r="AI299" s="2542"/>
      <c r="AJ299" s="2538"/>
      <c r="AK299" s="2538"/>
      <c r="AL299" s="1992"/>
      <c r="AM299" s="1827"/>
      <c r="AN299" s="1827"/>
      <c r="AO299" s="1827"/>
      <c r="AP299" s="1827"/>
      <c r="AQ299" s="1827"/>
      <c r="AR299" s="1827"/>
      <c r="AS299" s="1827"/>
      <c r="AT299" s="1827"/>
      <c r="AU299" s="1827"/>
      <c r="AV299" s="1827"/>
      <c r="AW299" s="1827"/>
      <c r="AX299" s="1827"/>
      <c r="AY299" s="1827"/>
      <c r="AZ299" s="1827"/>
      <c r="BA299" s="1827"/>
      <c r="BB299" s="1827"/>
      <c r="BC299" s="1827"/>
      <c r="BD299" s="1827"/>
      <c r="BE299" s="1827"/>
      <c r="BF299" s="1827"/>
      <c r="BG299" s="1639"/>
    </row>
    <row customHeight="1" ht="12">
      <c r="A300" s="1170" t="s">
        <v>1270</v>
      </c>
      <c r="B300" s="1170"/>
      <c r="C300" s="1170"/>
      <c r="D300" s="1164"/>
      <c r="E300" s="1174"/>
      <c r="F300" s="2541"/>
      <c r="G300" s="1194"/>
      <c r="H300" s="1194"/>
      <c r="I300" s="2539" t="s">
        <v>1321</v>
      </c>
      <c r="J300" s="2539"/>
      <c r="K300" s="2539"/>
      <c r="L300" s="1177"/>
      <c r="M300" s="1177"/>
      <c r="N300" s="1178"/>
      <c r="O300" s="1178"/>
      <c r="P300" s="1178"/>
      <c r="Q300" s="1178"/>
      <c r="R300" s="1178"/>
      <c r="S300" s="1178"/>
      <c r="T300" s="1178"/>
      <c r="U300" s="1178"/>
      <c r="V300" s="1178"/>
      <c r="W300" s="1178"/>
      <c r="X300" s="1178"/>
      <c r="Y300" s="1178"/>
      <c r="Z300" s="1178"/>
      <c r="AA300" s="1178"/>
      <c r="AB300" s="1178"/>
      <c r="AC300" s="1178"/>
      <c r="AD300" s="1178"/>
      <c r="AE300" s="1178"/>
      <c r="AF300" s="1178"/>
      <c r="AG300" s="1177"/>
      <c r="AH300" s="1177"/>
      <c r="AI300" s="1178"/>
      <c r="AJ300" s="1177"/>
      <c r="AK300" s="1178"/>
      <c r="AL300" s="1992"/>
      <c r="AM300" s="1827"/>
      <c r="AN300" s="1827"/>
      <c r="AO300" s="1827"/>
      <c r="AP300" s="1827"/>
      <c r="AQ300" s="1827"/>
      <c r="AR300" s="1827"/>
      <c r="AS300" s="1827"/>
      <c r="AT300" s="1827"/>
      <c r="AU300" s="1827"/>
      <c r="AV300" s="1827"/>
      <c r="AW300" s="1827"/>
      <c r="AX300" s="1827"/>
      <c r="AY300" s="1827"/>
      <c r="AZ300" s="1827"/>
      <c r="BA300" s="1827"/>
      <c r="BB300" s="1827"/>
      <c r="BC300" s="1827"/>
      <c r="BD300" s="1827"/>
      <c r="BE300" s="1827"/>
      <c r="BF300" s="1827"/>
      <c r="BG300" s="1639"/>
    </row>
    <row customHeight="1" ht="0.75">
      <c r="A301" s="1170" t="s">
        <v>1270</v>
      </c>
      <c r="B301" s="1170"/>
      <c r="C301" s="1170"/>
      <c r="D301" s="1164"/>
      <c r="E301" s="1174"/>
      <c r="F301" s="2540">
        <v>2029</v>
      </c>
      <c r="G301" s="2519"/>
      <c r="H301" s="2544" t="s">
        <v>394</v>
      </c>
      <c r="I301" s="2545"/>
      <c r="J301" s="2546"/>
      <c r="K301" s="2546"/>
      <c r="L301" s="2538"/>
      <c r="M301" s="2272"/>
      <c r="N301" s="2040"/>
      <c r="O301" s="2039"/>
      <c r="P301" s="2040"/>
      <c r="Q301" s="2040"/>
      <c r="R301" s="2040"/>
      <c r="S301" s="2040"/>
      <c r="T301" s="2040"/>
      <c r="U301" s="2040"/>
      <c r="V301" s="2040"/>
      <c r="W301" s="2040"/>
      <c r="X301" s="2040"/>
      <c r="Y301" s="2040"/>
      <c r="Z301" s="2040"/>
      <c r="AA301" s="2040"/>
      <c r="AB301" s="2040"/>
      <c r="AC301" s="2040"/>
      <c r="AD301" s="2040"/>
      <c r="AE301" s="2040"/>
      <c r="AF301" s="2542"/>
      <c r="AG301" s="2538"/>
      <c r="AH301" s="2538"/>
      <c r="AI301" s="2542"/>
      <c r="AJ301" s="2538"/>
      <c r="AK301" s="2538"/>
      <c r="AL301" s="1992"/>
      <c r="AM301" s="1827"/>
      <c r="AN301" s="1827"/>
      <c r="AO301" s="1827"/>
      <c r="AP301" s="1827"/>
      <c r="AQ301" s="1827"/>
      <c r="AR301" s="1827"/>
      <c r="AS301" s="1827"/>
      <c r="AT301" s="1827"/>
      <c r="AU301" s="1827"/>
      <c r="AV301" s="1827"/>
      <c r="AW301" s="1827"/>
      <c r="AX301" s="1827"/>
      <c r="AY301" s="1827"/>
      <c r="AZ301" s="1827"/>
      <c r="BA301" s="1827"/>
      <c r="BB301" s="1827"/>
      <c r="BC301" s="1827"/>
      <c r="BD301" s="1827"/>
      <c r="BE301" s="1827"/>
      <c r="BF301" s="1827"/>
      <c r="BG301" s="1639"/>
    </row>
    <row customHeight="1" ht="0.75">
      <c r="A302" s="1170" t="s">
        <v>1270</v>
      </c>
      <c r="B302" s="1170"/>
      <c r="C302" s="1170"/>
      <c r="D302" s="1164"/>
      <c r="E302" s="1174"/>
      <c r="F302" s="2540"/>
      <c r="G302" s="2519"/>
      <c r="H302" s="2544"/>
      <c r="I302" s="2545"/>
      <c r="J302" s="2546"/>
      <c r="K302" s="2546"/>
      <c r="L302" s="2538"/>
      <c r="M302" s="2272"/>
      <c r="N302" s="2547"/>
      <c r="O302" s="2548"/>
      <c r="P302" s="2592"/>
      <c r="Q302" s="2543"/>
      <c r="R302" s="2543"/>
      <c r="S302" s="2543"/>
      <c r="T302" s="2543"/>
      <c r="U302" s="2543"/>
      <c r="V302" s="2543"/>
      <c r="W302" s="2543"/>
      <c r="X302" s="2543"/>
      <c r="Y302" s="2543"/>
      <c r="Z302" s="2041"/>
      <c r="AA302" s="2042"/>
      <c r="AB302" s="2042"/>
      <c r="AC302" s="2043"/>
      <c r="AD302" s="2043"/>
      <c r="AE302" s="2044"/>
      <c r="AF302" s="2542"/>
      <c r="AG302" s="2538"/>
      <c r="AH302" s="2538"/>
      <c r="AI302" s="2542"/>
      <c r="AJ302" s="2538"/>
      <c r="AK302" s="2538"/>
      <c r="AL302" s="1992"/>
      <c r="AM302" s="1827"/>
      <c r="AN302" s="1827"/>
      <c r="AO302" s="1827"/>
      <c r="AP302" s="1827"/>
      <c r="AQ302" s="1827"/>
      <c r="AR302" s="1827"/>
      <c r="AS302" s="1827"/>
      <c r="AT302" s="1827"/>
      <c r="AU302" s="1827"/>
      <c r="AV302" s="1827"/>
      <c r="AW302" s="1827"/>
      <c r="AX302" s="1827"/>
      <c r="AY302" s="1827"/>
      <c r="AZ302" s="1827"/>
      <c r="BA302" s="1827"/>
      <c r="BB302" s="1827"/>
      <c r="BC302" s="1827"/>
      <c r="BD302" s="1827"/>
      <c r="BE302" s="1827"/>
      <c r="BF302" s="1827"/>
      <c r="BG302" s="1639"/>
    </row>
    <row customHeight="1" ht="0.75">
      <c r="A303" s="1170" t="s">
        <v>1270</v>
      </c>
      <c r="B303" s="1170"/>
      <c r="C303" s="1170"/>
      <c r="D303" s="1164"/>
      <c r="E303" s="1174"/>
      <c r="F303" s="2540"/>
      <c r="G303" s="2519"/>
      <c r="H303" s="2544"/>
      <c r="I303" s="2545"/>
      <c r="J303" s="2546"/>
      <c r="K303" s="2546"/>
      <c r="L303" s="2538"/>
      <c r="M303" s="2272"/>
      <c r="N303" s="2547"/>
      <c r="O303" s="2548"/>
      <c r="P303" s="2593"/>
      <c r="Q303" s="2543"/>
      <c r="R303" s="2543"/>
      <c r="S303" s="2543"/>
      <c r="T303" s="2543"/>
      <c r="U303" s="2543"/>
      <c r="V303" s="2543"/>
      <c r="W303" s="2543"/>
      <c r="X303" s="2543"/>
      <c r="Y303" s="2543"/>
      <c r="Z303" s="2045"/>
      <c r="AA303" s="2046"/>
      <c r="AB303" s="2047"/>
      <c r="AC303" s="2048"/>
      <c r="AD303" s="2047"/>
      <c r="AE303" s="2048"/>
      <c r="AF303" s="2542"/>
      <c r="AG303" s="2538"/>
      <c r="AH303" s="2538"/>
      <c r="AI303" s="2542"/>
      <c r="AJ303" s="2538"/>
      <c r="AK303" s="2538"/>
      <c r="AL303" s="1992"/>
      <c r="AM303" s="1827"/>
      <c r="AN303" s="1827"/>
      <c r="AO303" s="1827"/>
      <c r="AP303" s="1827"/>
      <c r="AQ303" s="1827"/>
      <c r="AR303" s="1827"/>
      <c r="AS303" s="1827"/>
      <c r="AT303" s="1827"/>
      <c r="AU303" s="1827"/>
      <c r="AV303" s="1827"/>
      <c r="AW303" s="1827"/>
      <c r="AX303" s="1827"/>
      <c r="AY303" s="1827"/>
      <c r="AZ303" s="1827"/>
      <c r="BA303" s="1827"/>
      <c r="BB303" s="1827"/>
      <c r="BC303" s="1827"/>
      <c r="BD303" s="1827"/>
      <c r="BE303" s="1827"/>
      <c r="BF303" s="1827"/>
      <c r="BG303" s="1639"/>
    </row>
    <row customHeight="1" ht="0.75">
      <c r="A304" s="1170" t="s">
        <v>1270</v>
      </c>
      <c r="B304" s="1170"/>
      <c r="C304" s="1170"/>
      <c r="D304" s="1164"/>
      <c r="E304" s="1174"/>
      <c r="F304" s="2540"/>
      <c r="G304" s="2519"/>
      <c r="H304" s="2544"/>
      <c r="I304" s="2545"/>
      <c r="J304" s="2546"/>
      <c r="K304" s="2546"/>
      <c r="L304" s="2538"/>
      <c r="M304" s="2272"/>
      <c r="N304" s="2547"/>
      <c r="O304" s="2548"/>
      <c r="P304" s="2594"/>
      <c r="Q304" s="2543"/>
      <c r="R304" s="2543"/>
      <c r="S304" s="2543"/>
      <c r="T304" s="2543"/>
      <c r="U304" s="2543"/>
      <c r="V304" s="2543"/>
      <c r="W304" s="2543"/>
      <c r="X304" s="2543"/>
      <c r="Y304" s="2543"/>
      <c r="Z304" s="2041"/>
      <c r="AA304" s="2042"/>
      <c r="AB304" s="2049"/>
      <c r="AC304" s="2043"/>
      <c r="AD304" s="2043"/>
      <c r="AE304" s="2050"/>
      <c r="AF304" s="2542"/>
      <c r="AG304" s="2538"/>
      <c r="AH304" s="2538"/>
      <c r="AI304" s="2542"/>
      <c r="AJ304" s="2538"/>
      <c r="AK304" s="2538"/>
      <c r="AL304" s="1992"/>
      <c r="AM304" s="1827"/>
      <c r="AN304" s="1827"/>
      <c r="AO304" s="1827"/>
      <c r="AP304" s="1827"/>
      <c r="AQ304" s="1827"/>
      <c r="AR304" s="1827"/>
      <c r="AS304" s="1827"/>
      <c r="AT304" s="1827"/>
      <c r="AU304" s="1827"/>
      <c r="AV304" s="1827"/>
      <c r="AW304" s="1827"/>
      <c r="AX304" s="1827"/>
      <c r="AY304" s="1827"/>
      <c r="AZ304" s="1827"/>
      <c r="BA304" s="1827"/>
      <c r="BB304" s="1827"/>
      <c r="BC304" s="1827"/>
      <c r="BD304" s="1827"/>
      <c r="BE304" s="1827"/>
      <c r="BF304" s="1827"/>
      <c r="BG304" s="1639"/>
    </row>
    <row customHeight="1" ht="0.75">
      <c r="A305" s="1170" t="s">
        <v>1270</v>
      </c>
      <c r="B305" s="1170"/>
      <c r="C305" s="1170"/>
      <c r="D305" s="1164"/>
      <c r="E305" s="1174"/>
      <c r="F305" s="2540"/>
      <c r="G305" s="2519"/>
      <c r="H305" s="2544"/>
      <c r="I305" s="2545"/>
      <c r="J305" s="2546"/>
      <c r="K305" s="2546"/>
      <c r="L305" s="2538"/>
      <c r="M305" s="2272"/>
      <c r="N305" s="2042"/>
      <c r="O305" s="2042"/>
      <c r="P305" s="2049"/>
      <c r="Q305" s="2042"/>
      <c r="R305" s="2042"/>
      <c r="S305" s="2042"/>
      <c r="T305" s="2042"/>
      <c r="U305" s="2042"/>
      <c r="V305" s="2042"/>
      <c r="W305" s="2042"/>
      <c r="X305" s="2042"/>
      <c r="Y305" s="2042"/>
      <c r="Z305" s="2042"/>
      <c r="AA305" s="2042"/>
      <c r="AB305" s="2042"/>
      <c r="AC305" s="2042"/>
      <c r="AD305" s="2042"/>
      <c r="AE305" s="2051"/>
      <c r="AF305" s="2542"/>
      <c r="AG305" s="2538"/>
      <c r="AH305" s="2538"/>
      <c r="AI305" s="2542"/>
      <c r="AJ305" s="2538"/>
      <c r="AK305" s="2538"/>
      <c r="AL305" s="1992"/>
      <c r="AM305" s="1827"/>
      <c r="AN305" s="1827"/>
      <c r="AO305" s="1827"/>
      <c r="AP305" s="1827"/>
      <c r="AQ305" s="1827"/>
      <c r="AR305" s="1827"/>
      <c r="AS305" s="1827"/>
      <c r="AT305" s="1827"/>
      <c r="AU305" s="1827"/>
      <c r="AV305" s="1827"/>
      <c r="AW305" s="1827"/>
      <c r="AX305" s="1827"/>
      <c r="AY305" s="1827"/>
      <c r="AZ305" s="1827"/>
      <c r="BA305" s="1827"/>
      <c r="BB305" s="1827"/>
      <c r="BC305" s="1827"/>
      <c r="BD305" s="1827"/>
      <c r="BE305" s="1827"/>
      <c r="BF305" s="1827"/>
      <c r="BG305" s="1639"/>
    </row>
    <row customHeight="1" ht="12">
      <c r="A306" s="1170" t="s">
        <v>1270</v>
      </c>
      <c r="B306" s="1170"/>
      <c r="C306" s="1170"/>
      <c r="D306" s="1164"/>
      <c r="E306" s="1174"/>
      <c r="F306" s="2541"/>
      <c r="G306" s="1194"/>
      <c r="H306" s="1194"/>
      <c r="I306" s="2539" t="s">
        <v>1321</v>
      </c>
      <c r="J306" s="2539"/>
      <c r="K306" s="2539"/>
      <c r="L306" s="1177"/>
      <c r="M306" s="1177"/>
      <c r="N306" s="1178"/>
      <c r="O306" s="1178"/>
      <c r="P306" s="1178"/>
      <c r="Q306" s="1178"/>
      <c r="R306" s="1178"/>
      <c r="S306" s="1178"/>
      <c r="T306" s="1178"/>
      <c r="U306" s="1178"/>
      <c r="V306" s="1178"/>
      <c r="W306" s="1178"/>
      <c r="X306" s="1178"/>
      <c r="Y306" s="1178"/>
      <c r="Z306" s="1178"/>
      <c r="AA306" s="1178"/>
      <c r="AB306" s="1178"/>
      <c r="AC306" s="1178"/>
      <c r="AD306" s="1178"/>
      <c r="AE306" s="1178"/>
      <c r="AF306" s="1178"/>
      <c r="AG306" s="1177"/>
      <c r="AH306" s="1177"/>
      <c r="AI306" s="1178"/>
      <c r="AJ306" s="1177"/>
      <c r="AK306" s="1178"/>
      <c r="AL306" s="1992"/>
      <c r="AM306" s="1827"/>
      <c r="AN306" s="1827"/>
      <c r="AO306" s="1827"/>
      <c r="AP306" s="1827"/>
      <c r="AQ306" s="1827"/>
      <c r="AR306" s="1827"/>
      <c r="AS306" s="1827"/>
      <c r="AT306" s="1827"/>
      <c r="AU306" s="1827"/>
      <c r="AV306" s="1827"/>
      <c r="AW306" s="1827"/>
      <c r="AX306" s="1827"/>
      <c r="AY306" s="1827"/>
      <c r="AZ306" s="1827"/>
      <c r="BA306" s="1827"/>
      <c r="BB306" s="1827"/>
      <c r="BC306" s="1827"/>
      <c r="BD306" s="1827"/>
      <c r="BE306" s="1827"/>
      <c r="BF306" s="1827"/>
      <c r="BG306" s="1639"/>
    </row>
    <row customHeight="1" ht="0.75">
      <c r="A307" s="1170" t="s">
        <v>1270</v>
      </c>
      <c r="B307" s="1170"/>
      <c r="C307" s="1170"/>
      <c r="D307" s="1164"/>
      <c r="E307" s="1174"/>
      <c r="F307" s="2540">
        <v>2030</v>
      </c>
      <c r="G307" s="2519"/>
      <c r="H307" s="2544" t="s">
        <v>394</v>
      </c>
      <c r="I307" s="2545"/>
      <c r="J307" s="2546"/>
      <c r="K307" s="2546"/>
      <c r="L307" s="2538"/>
      <c r="M307" s="2272"/>
      <c r="N307" s="2040"/>
      <c r="O307" s="2039"/>
      <c r="P307" s="2040"/>
      <c r="Q307" s="2040"/>
      <c r="R307" s="2040"/>
      <c r="S307" s="2040"/>
      <c r="T307" s="2040"/>
      <c r="U307" s="2040"/>
      <c r="V307" s="2040"/>
      <c r="W307" s="2040"/>
      <c r="X307" s="2040"/>
      <c r="Y307" s="2040"/>
      <c r="Z307" s="2040"/>
      <c r="AA307" s="2040"/>
      <c r="AB307" s="2040"/>
      <c r="AC307" s="2040"/>
      <c r="AD307" s="2040"/>
      <c r="AE307" s="2040"/>
      <c r="AF307" s="2542"/>
      <c r="AG307" s="2538"/>
      <c r="AH307" s="2538"/>
      <c r="AI307" s="2542"/>
      <c r="AJ307" s="2538"/>
      <c r="AK307" s="2538"/>
      <c r="AL307" s="1992"/>
      <c r="AM307" s="1827"/>
      <c r="AN307" s="1827"/>
      <c r="AO307" s="1827"/>
      <c r="AP307" s="1827"/>
      <c r="AQ307" s="1827"/>
      <c r="AR307" s="1827"/>
      <c r="AS307" s="1827"/>
      <c r="AT307" s="1827"/>
      <c r="AU307" s="1827"/>
      <c r="AV307" s="1827"/>
      <c r="AW307" s="1827"/>
      <c r="AX307" s="1827"/>
      <c r="AY307" s="1827"/>
      <c r="AZ307" s="1827"/>
      <c r="BA307" s="1827"/>
      <c r="BB307" s="1827"/>
      <c r="BC307" s="1827"/>
      <c r="BD307" s="1827"/>
      <c r="BE307" s="1827"/>
      <c r="BF307" s="1827"/>
      <c r="BG307" s="1639"/>
    </row>
    <row customHeight="1" ht="0.75">
      <c r="A308" s="1170" t="s">
        <v>1270</v>
      </c>
      <c r="B308" s="1170"/>
      <c r="C308" s="1170"/>
      <c r="D308" s="1164"/>
      <c r="E308" s="1174"/>
      <c r="F308" s="2540"/>
      <c r="G308" s="2519"/>
      <c r="H308" s="2544"/>
      <c r="I308" s="2545"/>
      <c r="J308" s="2546"/>
      <c r="K308" s="2546"/>
      <c r="L308" s="2538"/>
      <c r="M308" s="2272"/>
      <c r="N308" s="2547"/>
      <c r="O308" s="2548"/>
      <c r="P308" s="2592"/>
      <c r="Q308" s="2543"/>
      <c r="R308" s="2543"/>
      <c r="S308" s="2543"/>
      <c r="T308" s="2543"/>
      <c r="U308" s="2543"/>
      <c r="V308" s="2543"/>
      <c r="W308" s="2543"/>
      <c r="X308" s="2543"/>
      <c r="Y308" s="2543"/>
      <c r="Z308" s="2041"/>
      <c r="AA308" s="2042"/>
      <c r="AB308" s="2042"/>
      <c r="AC308" s="2043"/>
      <c r="AD308" s="2043"/>
      <c r="AE308" s="2044"/>
      <c r="AF308" s="2542"/>
      <c r="AG308" s="2538"/>
      <c r="AH308" s="2538"/>
      <c r="AI308" s="2542"/>
      <c r="AJ308" s="2538"/>
      <c r="AK308" s="2538"/>
      <c r="AL308" s="1992"/>
      <c r="AM308" s="1827"/>
      <c r="AN308" s="1827"/>
      <c r="AO308" s="1827"/>
      <c r="AP308" s="1827"/>
      <c r="AQ308" s="1827"/>
      <c r="AR308" s="1827"/>
      <c r="AS308" s="1827"/>
      <c r="AT308" s="1827"/>
      <c r="AU308" s="1827"/>
      <c r="AV308" s="1827"/>
      <c r="AW308" s="1827"/>
      <c r="AX308" s="1827"/>
      <c r="AY308" s="1827"/>
      <c r="AZ308" s="1827"/>
      <c r="BA308" s="1827"/>
      <c r="BB308" s="1827"/>
      <c r="BC308" s="1827"/>
      <c r="BD308" s="1827"/>
      <c r="BE308" s="1827"/>
      <c r="BF308" s="1827"/>
      <c r="BG308" s="1639"/>
    </row>
    <row customHeight="1" ht="0.75">
      <c r="A309" s="1170" t="s">
        <v>1270</v>
      </c>
      <c r="B309" s="1170"/>
      <c r="C309" s="1170"/>
      <c r="D309" s="1164"/>
      <c r="E309" s="1174"/>
      <c r="F309" s="2540"/>
      <c r="G309" s="2519"/>
      <c r="H309" s="2544"/>
      <c r="I309" s="2545"/>
      <c r="J309" s="2546"/>
      <c r="K309" s="2546"/>
      <c r="L309" s="2538"/>
      <c r="M309" s="2272"/>
      <c r="N309" s="2547"/>
      <c r="O309" s="2548"/>
      <c r="P309" s="2593"/>
      <c r="Q309" s="2543"/>
      <c r="R309" s="2543"/>
      <c r="S309" s="2543"/>
      <c r="T309" s="2543"/>
      <c r="U309" s="2543"/>
      <c r="V309" s="2543"/>
      <c r="W309" s="2543"/>
      <c r="X309" s="2543"/>
      <c r="Y309" s="2543"/>
      <c r="Z309" s="2045"/>
      <c r="AA309" s="2046"/>
      <c r="AB309" s="2047"/>
      <c r="AC309" s="2048"/>
      <c r="AD309" s="2047"/>
      <c r="AE309" s="2048"/>
      <c r="AF309" s="2542"/>
      <c r="AG309" s="2538"/>
      <c r="AH309" s="2538"/>
      <c r="AI309" s="2542"/>
      <c r="AJ309" s="2538"/>
      <c r="AK309" s="2538"/>
      <c r="AL309" s="1992"/>
      <c r="AM309" s="1827"/>
      <c r="AN309" s="1827"/>
      <c r="AO309" s="1827"/>
      <c r="AP309" s="1827"/>
      <c r="AQ309" s="1827"/>
      <c r="AR309" s="1827"/>
      <c r="AS309" s="1827"/>
      <c r="AT309" s="1827"/>
      <c r="AU309" s="1827"/>
      <c r="AV309" s="1827"/>
      <c r="AW309" s="1827"/>
      <c r="AX309" s="1827"/>
      <c r="AY309" s="1827"/>
      <c r="AZ309" s="1827"/>
      <c r="BA309" s="1827"/>
      <c r="BB309" s="1827"/>
      <c r="BC309" s="1827"/>
      <c r="BD309" s="1827"/>
      <c r="BE309" s="1827"/>
      <c r="BF309" s="1827"/>
      <c r="BG309" s="1639"/>
    </row>
    <row customHeight="1" ht="0.75">
      <c r="A310" s="1170" t="s">
        <v>1270</v>
      </c>
      <c r="B310" s="1170"/>
      <c r="C310" s="1170"/>
      <c r="D310" s="1164"/>
      <c r="E310" s="1174"/>
      <c r="F310" s="2540"/>
      <c r="G310" s="2519"/>
      <c r="H310" s="2544"/>
      <c r="I310" s="2545"/>
      <c r="J310" s="2546"/>
      <c r="K310" s="2546"/>
      <c r="L310" s="2538"/>
      <c r="M310" s="2272"/>
      <c r="N310" s="2547"/>
      <c r="O310" s="2548"/>
      <c r="P310" s="2594"/>
      <c r="Q310" s="2543"/>
      <c r="R310" s="2543"/>
      <c r="S310" s="2543"/>
      <c r="T310" s="2543"/>
      <c r="U310" s="2543"/>
      <c r="V310" s="2543"/>
      <c r="W310" s="2543"/>
      <c r="X310" s="2543"/>
      <c r="Y310" s="2543"/>
      <c r="Z310" s="2041"/>
      <c r="AA310" s="2042"/>
      <c r="AB310" s="2049"/>
      <c r="AC310" s="2043"/>
      <c r="AD310" s="2043"/>
      <c r="AE310" s="2050"/>
      <c r="AF310" s="2542"/>
      <c r="AG310" s="2538"/>
      <c r="AH310" s="2538"/>
      <c r="AI310" s="2542"/>
      <c r="AJ310" s="2538"/>
      <c r="AK310" s="2538"/>
      <c r="AL310" s="1992"/>
      <c r="AM310" s="1827"/>
      <c r="AN310" s="1827"/>
      <c r="AO310" s="1827"/>
      <c r="AP310" s="1827"/>
      <c r="AQ310" s="1827"/>
      <c r="AR310" s="1827"/>
      <c r="AS310" s="1827"/>
      <c r="AT310" s="1827"/>
      <c r="AU310" s="1827"/>
      <c r="AV310" s="1827"/>
      <c r="AW310" s="1827"/>
      <c r="AX310" s="1827"/>
      <c r="AY310" s="1827"/>
      <c r="AZ310" s="1827"/>
      <c r="BA310" s="1827"/>
      <c r="BB310" s="1827"/>
      <c r="BC310" s="1827"/>
      <c r="BD310" s="1827"/>
      <c r="BE310" s="1827"/>
      <c r="BF310" s="1827"/>
      <c r="BG310" s="1639"/>
    </row>
    <row customHeight="1" ht="0.75">
      <c r="A311" s="1170" t="s">
        <v>1270</v>
      </c>
      <c r="B311" s="1170"/>
      <c r="C311" s="1170"/>
      <c r="D311" s="1164"/>
      <c r="E311" s="1174"/>
      <c r="F311" s="2540"/>
      <c r="G311" s="2519"/>
      <c r="H311" s="2544"/>
      <c r="I311" s="2545"/>
      <c r="J311" s="2546"/>
      <c r="K311" s="2546"/>
      <c r="L311" s="2538"/>
      <c r="M311" s="2272"/>
      <c r="N311" s="2042"/>
      <c r="O311" s="2042"/>
      <c r="P311" s="2049"/>
      <c r="Q311" s="2042"/>
      <c r="R311" s="2042"/>
      <c r="S311" s="2042"/>
      <c r="T311" s="2042"/>
      <c r="U311" s="2042"/>
      <c r="V311" s="2042"/>
      <c r="W311" s="2042"/>
      <c r="X311" s="2042"/>
      <c r="Y311" s="2042"/>
      <c r="Z311" s="2042"/>
      <c r="AA311" s="2042"/>
      <c r="AB311" s="2042"/>
      <c r="AC311" s="2042"/>
      <c r="AD311" s="2042"/>
      <c r="AE311" s="2051"/>
      <c r="AF311" s="2542"/>
      <c r="AG311" s="2538"/>
      <c r="AH311" s="2538"/>
      <c r="AI311" s="2542"/>
      <c r="AJ311" s="2538"/>
      <c r="AK311" s="2538"/>
      <c r="AL311" s="1992"/>
      <c r="AM311" s="1827"/>
      <c r="AN311" s="1827"/>
      <c r="AO311" s="1827"/>
      <c r="AP311" s="1827"/>
      <c r="AQ311" s="1827"/>
      <c r="AR311" s="1827"/>
      <c r="AS311" s="1827"/>
      <c r="AT311" s="1827"/>
      <c r="AU311" s="1827"/>
      <c r="AV311" s="1827"/>
      <c r="AW311" s="1827"/>
      <c r="AX311" s="1827"/>
      <c r="AY311" s="1827"/>
      <c r="AZ311" s="1827"/>
      <c r="BA311" s="1827"/>
      <c r="BB311" s="1827"/>
      <c r="BC311" s="1827"/>
      <c r="BD311" s="1827"/>
      <c r="BE311" s="1827"/>
      <c r="BF311" s="1827"/>
      <c r="BG311" s="1639"/>
    </row>
    <row customHeight="1" ht="12">
      <c r="A312" s="1170" t="s">
        <v>1270</v>
      </c>
      <c r="B312" s="1170"/>
      <c r="C312" s="1170"/>
      <c r="D312" s="1164"/>
      <c r="E312" s="1174"/>
      <c r="F312" s="2541"/>
      <c r="G312" s="1194"/>
      <c r="H312" s="1194"/>
      <c r="I312" s="2539" t="s">
        <v>1321</v>
      </c>
      <c r="J312" s="2539"/>
      <c r="K312" s="2539"/>
      <c r="L312" s="1177"/>
      <c r="M312" s="1177"/>
      <c r="N312" s="1178"/>
      <c r="O312" s="1178"/>
      <c r="P312" s="1178"/>
      <c r="Q312" s="1178"/>
      <c r="R312" s="1178"/>
      <c r="S312" s="1178"/>
      <c r="T312" s="1178"/>
      <c r="U312" s="1178"/>
      <c r="V312" s="1178"/>
      <c r="W312" s="1178"/>
      <c r="X312" s="1178"/>
      <c r="Y312" s="1178"/>
      <c r="Z312" s="1178"/>
      <c r="AA312" s="1178"/>
      <c r="AB312" s="1178"/>
      <c r="AC312" s="1178"/>
      <c r="AD312" s="1178"/>
      <c r="AE312" s="1178"/>
      <c r="AF312" s="1178"/>
      <c r="AG312" s="1177"/>
      <c r="AH312" s="1177"/>
      <c r="AI312" s="1178"/>
      <c r="AJ312" s="1177"/>
      <c r="AK312" s="1178"/>
      <c r="AL312" s="1992"/>
      <c r="AM312" s="1827"/>
      <c r="AN312" s="1827"/>
      <c r="AO312" s="1827"/>
      <c r="AP312" s="1827"/>
      <c r="AQ312" s="1827"/>
      <c r="AR312" s="1827"/>
      <c r="AS312" s="1827"/>
      <c r="AT312" s="1827"/>
      <c r="AU312" s="1827"/>
      <c r="AV312" s="1827"/>
      <c r="AW312" s="1827"/>
      <c r="AX312" s="1827"/>
      <c r="AY312" s="1827"/>
      <c r="AZ312" s="1827"/>
      <c r="BA312" s="1827"/>
      <c r="BB312" s="1827"/>
      <c r="BC312" s="1827"/>
      <c r="BD312" s="1827"/>
      <c r="BE312" s="1827"/>
      <c r="BF312" s="1827"/>
      <c r="BG312" s="1639"/>
    </row>
    <row customHeight="1" ht="10.5">
      <c r="E313" s="911"/>
      <c r="F313" s="922"/>
      <c r="G313" s="922"/>
      <c r="H313" s="1176"/>
      <c r="I313" s="922"/>
      <c r="J313" s="922"/>
      <c r="K313" s="922"/>
      <c r="L313" s="1135"/>
      <c r="M313" s="1135"/>
      <c r="N313" s="922"/>
      <c r="O313" s="922"/>
      <c r="P313" s="922"/>
      <c r="Q313" s="922"/>
      <c r="R313" s="922"/>
      <c r="S313" s="922"/>
      <c r="T313" s="922"/>
      <c r="U313" s="922"/>
      <c r="V313" s="922"/>
      <c r="W313" s="922"/>
      <c r="X313" s="922"/>
      <c r="Y313" s="922"/>
      <c r="Z313" s="922"/>
      <c r="AA313" s="922"/>
      <c r="AB313" s="922"/>
      <c r="AC313" s="922"/>
      <c r="AD313" s="1135"/>
      <c r="AE313" s="922"/>
      <c r="AF313" s="922"/>
      <c r="AG313" s="922"/>
      <c r="AH313" s="1153"/>
      <c r="AI313" s="1146"/>
      <c r="AJ313" s="922"/>
      <c r="AK313" s="922"/>
      <c r="AL313" s="911"/>
      <c r="AM313" s="911"/>
      <c r="AN313" s="911"/>
      <c r="AO313" s="911"/>
      <c r="AP313" s="911"/>
      <c r="AQ313" s="911"/>
      <c r="AR313" s="911"/>
      <c r="AS313" s="911"/>
      <c r="AT313" s="911"/>
      <c r="AU313" s="911"/>
      <c r="AV313" s="911"/>
      <c r="AW313" s="911"/>
      <c r="AX313" s="911"/>
      <c r="AY313" s="911"/>
      <c r="AZ313" s="911"/>
      <c r="BA313" s="911"/>
      <c r="BB313" s="911"/>
      <c r="BC313" s="911"/>
      <c r="BD313" s="911"/>
      <c r="BE313" s="911"/>
      <c r="BF313" s="911"/>
      <c r="BG313" s="762">
        <v>10</v>
      </c>
    </row>
    <row customHeight="1" ht="13.5">
      <c r="E314" s="911"/>
      <c r="F314" s="918" t="s">
        <v>1328</v>
      </c>
      <c r="G314" s="918"/>
      <c r="H314" s="1175"/>
      <c r="I314" s="918"/>
      <c r="J314" s="918"/>
      <c r="K314" s="915"/>
      <c r="L314" s="1131"/>
      <c r="M314" s="1131"/>
      <c r="N314" s="917"/>
      <c r="O314" s="917"/>
      <c r="P314" s="917"/>
      <c r="Q314" s="917"/>
      <c r="R314" s="917"/>
      <c r="S314" s="917"/>
      <c r="T314" s="917"/>
      <c r="U314" s="917"/>
      <c r="V314" s="917"/>
      <c r="W314" s="917"/>
      <c r="X314" s="917"/>
      <c r="Y314" s="917"/>
      <c r="Z314" s="915"/>
      <c r="AA314" s="915"/>
      <c r="AB314" s="915"/>
      <c r="AC314" s="915"/>
      <c r="AD314" s="1131"/>
      <c r="AE314" s="915"/>
      <c r="AF314" s="915"/>
      <c r="AG314" s="915"/>
      <c r="AH314" s="1150"/>
      <c r="AI314" s="1143"/>
      <c r="AJ314" s="915"/>
      <c r="AK314" s="915"/>
      <c r="AL314" s="911"/>
      <c r="AM314" s="911"/>
      <c r="AN314" s="911"/>
      <c r="AO314" s="911"/>
      <c r="AP314" s="911"/>
      <c r="AQ314" s="911"/>
      <c r="AR314" s="911"/>
      <c r="AS314" s="911"/>
      <c r="AT314" s="911"/>
      <c r="AU314" s="911"/>
      <c r="AV314" s="911"/>
      <c r="AW314" s="911"/>
      <c r="AX314" s="911"/>
      <c r="AY314" s="911"/>
      <c r="AZ314" s="911"/>
      <c r="BA314" s="911"/>
      <c r="BB314" s="911"/>
      <c r="BC314" s="911"/>
      <c r="BD314" s="911"/>
      <c r="BE314" s="911"/>
      <c r="BF314" s="911"/>
      <c r="BG314" s="762">
        <v>13</v>
      </c>
    </row>
    <row customHeight="1" ht="10.5">
      <c r="BG315" s="762">
        <v>10</v>
      </c>
    </row>
    <row customHeight="1" ht="10.5">
      <c r="E316" s="911"/>
      <c r="F316" s="2411"/>
      <c r="G316" s="2411"/>
      <c r="H316" s="2411"/>
      <c r="I316" s="2411"/>
      <c r="J316" s="2411"/>
      <c r="K316" s="915"/>
      <c r="L316" s="1131"/>
      <c r="M316" s="1131"/>
      <c r="N316" s="917"/>
      <c r="O316" s="917"/>
      <c r="P316" s="917"/>
      <c r="Q316" s="917"/>
      <c r="R316" s="917"/>
      <c r="S316" s="917"/>
      <c r="T316" s="917"/>
      <c r="U316" s="917"/>
      <c r="V316" s="917"/>
      <c r="W316" s="917"/>
      <c r="X316" s="917"/>
      <c r="Y316" s="917"/>
      <c r="Z316" s="915"/>
      <c r="AA316" s="915"/>
      <c r="AB316" s="915"/>
      <c r="AC316" s="915"/>
      <c r="AD316" s="1131"/>
      <c r="AE316" s="915"/>
      <c r="AF316" s="915"/>
      <c r="AG316" s="915"/>
      <c r="AH316" s="1150"/>
      <c r="AI316" s="1143"/>
      <c r="AJ316" s="915"/>
      <c r="AK316" s="915"/>
      <c r="AL316" s="911"/>
      <c r="AM316" s="911"/>
      <c r="AN316" s="911"/>
      <c r="AO316" s="911"/>
      <c r="AP316" s="911"/>
      <c r="AQ316" s="911"/>
      <c r="AR316" s="911"/>
      <c r="AS316" s="911"/>
      <c r="AT316" s="911"/>
      <c r="AU316" s="911"/>
      <c r="AV316" s="911"/>
      <c r="AW316" s="911"/>
      <c r="AX316" s="911"/>
      <c r="AY316" s="911"/>
      <c r="AZ316" s="911"/>
      <c r="BA316" s="911"/>
      <c r="BB316" s="911"/>
      <c r="BC316" s="911"/>
      <c r="BD316" s="911"/>
      <c r="BE316" s="911"/>
      <c r="BF316" s="911"/>
      <c r="BG316" s="762">
        <v>10</v>
      </c>
    </row>
    <row customHeight="1" ht="10.5">
      <c r="E317" s="911"/>
      <c r="F317" s="2411"/>
      <c r="G317" s="2411"/>
      <c r="H317" s="2411"/>
      <c r="I317" s="2411"/>
      <c r="J317" s="2411"/>
      <c r="K317" s="915"/>
      <c r="L317" s="1131"/>
      <c r="M317" s="1131"/>
      <c r="N317" s="917"/>
      <c r="O317" s="917"/>
      <c r="P317" s="917"/>
      <c r="Q317" s="917"/>
      <c r="R317" s="917"/>
      <c r="S317" s="917"/>
      <c r="T317" s="917"/>
      <c r="U317" s="917"/>
      <c r="V317" s="917"/>
      <c r="W317" s="917"/>
      <c r="X317" s="917"/>
      <c r="Y317" s="917"/>
      <c r="Z317" s="915"/>
      <c r="AA317" s="915"/>
      <c r="AB317" s="915"/>
      <c r="AC317" s="915"/>
      <c r="AD317" s="1131"/>
      <c r="AE317" s="915"/>
      <c r="AF317" s="915"/>
      <c r="AG317" s="915"/>
      <c r="AH317" s="1150"/>
      <c r="AI317" s="1143"/>
      <c r="AJ317" s="915"/>
      <c r="AK317" s="915"/>
      <c r="AL317" s="911"/>
      <c r="AM317" s="911"/>
      <c r="AN317" s="911"/>
      <c r="AO317" s="911"/>
      <c r="AP317" s="911"/>
      <c r="AQ317" s="911"/>
      <c r="AR317" s="911"/>
      <c r="AS317" s="911"/>
      <c r="AT317" s="911"/>
      <c r="AU317" s="911"/>
      <c r="AV317" s="911"/>
      <c r="AW317" s="911"/>
      <c r="AX317" s="911"/>
      <c r="AY317" s="911"/>
      <c r="AZ317" s="911"/>
      <c r="BA317" s="911"/>
      <c r="BB317" s="911"/>
      <c r="BC317" s="911"/>
      <c r="BD317" s="911"/>
      <c r="BE317" s="911"/>
      <c r="BF317" s="911"/>
      <c r="BG317" s="762">
        <v>10</v>
      </c>
    </row>
    <row customHeight="1" ht="10.5">
      <c r="E318" s="911"/>
      <c r="F318" s="2411"/>
      <c r="G318" s="2411"/>
      <c r="H318" s="2411"/>
      <c r="I318" s="2411"/>
      <c r="J318" s="2411"/>
      <c r="K318" s="915"/>
      <c r="L318" s="1131"/>
      <c r="M318" s="1131"/>
      <c r="N318" s="917"/>
      <c r="O318" s="917"/>
      <c r="P318" s="917"/>
      <c r="Q318" s="917"/>
      <c r="R318" s="917"/>
      <c r="S318" s="917"/>
      <c r="T318" s="917"/>
      <c r="U318" s="917"/>
      <c r="V318" s="917"/>
      <c r="W318" s="917"/>
      <c r="X318" s="917"/>
      <c r="Y318" s="917"/>
      <c r="Z318" s="915"/>
      <c r="AA318" s="915"/>
      <c r="AB318" s="915"/>
      <c r="AC318" s="915"/>
      <c r="AD318" s="1131"/>
      <c r="AE318" s="915"/>
      <c r="AF318" s="915"/>
      <c r="AG318" s="915"/>
      <c r="AH318" s="1150"/>
      <c r="AI318" s="1143"/>
      <c r="AJ318" s="915"/>
      <c r="AK318" s="915"/>
      <c r="AL318" s="911"/>
      <c r="AM318" s="911"/>
      <c r="AN318" s="911"/>
      <c r="AO318" s="911"/>
      <c r="AP318" s="911"/>
      <c r="AQ318" s="911"/>
      <c r="AR318" s="911"/>
      <c r="AS318" s="911"/>
      <c r="AT318" s="911"/>
      <c r="AU318" s="911"/>
      <c r="AV318" s="911"/>
      <c r="AW318" s="911"/>
      <c r="AX318" s="911"/>
      <c r="AY318" s="911"/>
      <c r="AZ318" s="911"/>
      <c r="BA318" s="911"/>
      <c r="BB318" s="911"/>
      <c r="BC318" s="911"/>
      <c r="BD318" s="911"/>
      <c r="BE318" s="911"/>
      <c r="BF318" s="911"/>
      <c r="BG318" s="762">
        <v>10</v>
      </c>
    </row>
    <row customHeight="1" ht="10.5" hidden="1">
      <c r="A319" s="899" t="s">
        <v>82</v>
      </c>
      <c r="B319" s="899">
        <v>0</v>
      </c>
      <c r="C319" s="899">
        <v>0</v>
      </c>
      <c r="D319" s="421">
        <v>0</v>
      </c>
      <c r="E319" s="513">
        <v>3</v>
      </c>
      <c r="F319" s="762">
        <v>14</v>
      </c>
      <c r="G319" s="762">
        <v>3</v>
      </c>
      <c r="H319" s="1159">
        <v>7</v>
      </c>
      <c r="I319" s="762">
        <v>16</v>
      </c>
      <c r="J319" s="762">
        <v>16</v>
      </c>
      <c r="K319" s="762">
        <v>25</v>
      </c>
      <c r="L319" s="1129">
        <v>7</v>
      </c>
      <c r="M319" s="1129">
        <v>15</v>
      </c>
      <c r="N319" s="762">
        <v>3</v>
      </c>
      <c r="O319" s="762">
        <v>4</v>
      </c>
      <c r="P319" s="762">
        <v>8</v>
      </c>
      <c r="Q319" s="762">
        <v>21</v>
      </c>
      <c r="R319" s="762">
        <v>14</v>
      </c>
      <c r="S319" s="762">
        <v>17</v>
      </c>
      <c r="T319" s="762">
        <v>17</v>
      </c>
      <c r="U319" s="762">
        <v>9</v>
      </c>
      <c r="V319" s="762">
        <v>12</v>
      </c>
      <c r="W319" s="762">
        <v>9</v>
      </c>
      <c r="X319" s="762">
        <v>21</v>
      </c>
      <c r="Y319" s="762">
        <v>12</v>
      </c>
      <c r="Z319" s="762">
        <v>3</v>
      </c>
      <c r="AA319" s="762">
        <v>6</v>
      </c>
      <c r="AB319" s="762">
        <v>38</v>
      </c>
      <c r="AC319" s="762">
        <v>15</v>
      </c>
      <c r="AD319" s="1129">
        <v>0</v>
      </c>
      <c r="AE319" s="762">
        <v>0</v>
      </c>
      <c r="AF319" s="762">
        <v>16</v>
      </c>
      <c r="AG319" s="762">
        <v>16</v>
      </c>
      <c r="AH319" s="1148">
        <v>16</v>
      </c>
      <c r="AI319" s="1141">
        <v>0</v>
      </c>
      <c r="AJ319" s="762">
        <v>0</v>
      </c>
      <c r="AK319" s="762">
        <v>0</v>
      </c>
      <c r="AL319" s="762">
        <v>8</v>
      </c>
      <c r="AM319" s="762">
        <v>8</v>
      </c>
      <c r="AN319" s="762">
        <v>8</v>
      </c>
      <c r="AO319" s="762">
        <v>8</v>
      </c>
      <c r="AP319" s="762">
        <v>8</v>
      </c>
      <c r="AQ319" s="762">
        <v>8</v>
      </c>
      <c r="AR319" s="762">
        <v>8</v>
      </c>
      <c r="AS319" s="762">
        <v>8</v>
      </c>
      <c r="AT319" s="762">
        <v>8</v>
      </c>
      <c r="AU319" s="762">
        <v>8</v>
      </c>
      <c r="AV319" s="762">
        <v>8</v>
      </c>
      <c r="AW319" s="762">
        <v>8</v>
      </c>
      <c r="AX319" s="762">
        <v>8</v>
      </c>
      <c r="AY319" s="762">
        <v>8</v>
      </c>
      <c r="AZ319" s="762">
        <v>8</v>
      </c>
      <c r="BA319" s="762">
        <v>8</v>
      </c>
      <c r="BB319" s="762">
        <v>8</v>
      </c>
      <c r="BC319" s="762">
        <v>8</v>
      </c>
      <c r="BD319" s="762">
        <v>8</v>
      </c>
      <c r="BE319" s="762">
        <v>8</v>
      </c>
      <c r="BF319" s="762">
        <v>8</v>
      </c>
      <c r="BG319" s="762">
        <v>10</v>
      </c>
    </row>
  </sheetData>
  <sheetProtection formatColumns="0" formatRows="0" autoFilter="0" sort="0" insertRows="0" insertColumns="1" deleteRows="0" deleteColumns="0"/>
  <mergeCells count="1348">
    <mergeCell ref="AB9:AE10"/>
    <mergeCell ref="S11:Y11"/>
    <mergeCell ref="N10:Y10"/>
    <mergeCell ref="K9:Y9"/>
    <mergeCell ref="N11:O12"/>
    <mergeCell ref="P11:P12"/>
    <mergeCell ref="Q11:Q12"/>
    <mergeCell ref="F318:J318"/>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317:J317"/>
    <mergeCell ref="F316:J316"/>
    <mergeCell ref="F5:K5"/>
    <mergeCell ref="P16:P18"/>
    <mergeCell ref="Q16:Q18"/>
    <mergeCell ref="R16:R18"/>
    <mergeCell ref="G15:G19"/>
    <mergeCell ref="AJ15:AJ19"/>
    <mergeCell ref="AK15:AK19"/>
    <mergeCell ref="I83:K83"/>
    <mergeCell ref="F15:F83"/>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85:P87"/>
    <mergeCell ref="Q85:Q87"/>
    <mergeCell ref="R85:R87"/>
    <mergeCell ref="G84:G88"/>
    <mergeCell ref="AJ84:AJ88"/>
    <mergeCell ref="AK84:AK88"/>
    <mergeCell ref="I89:K89"/>
    <mergeCell ref="F84:F89"/>
    <mergeCell ref="AF84:AF88"/>
    <mergeCell ref="AG84:AG88"/>
    <mergeCell ref="AH84:AH88"/>
    <mergeCell ref="AI84:AI88"/>
    <mergeCell ref="S85:S87"/>
    <mergeCell ref="T85:T87"/>
    <mergeCell ref="U85:U87"/>
    <mergeCell ref="V85:V87"/>
    <mergeCell ref="W85:W87"/>
    <mergeCell ref="X85:X87"/>
    <mergeCell ref="Y85:Y87"/>
    <mergeCell ref="H84:H88"/>
    <mergeCell ref="I84:I88"/>
    <mergeCell ref="J84:J88"/>
    <mergeCell ref="K84:K88"/>
    <mergeCell ref="L84:L88"/>
    <mergeCell ref="M84:M88"/>
    <mergeCell ref="N85:N87"/>
    <mergeCell ref="O85:O87"/>
    <mergeCell ref="P91:P93"/>
    <mergeCell ref="Q91:Q93"/>
    <mergeCell ref="R91:R93"/>
    <mergeCell ref="G90:G94"/>
    <mergeCell ref="AJ90:AJ94"/>
    <mergeCell ref="AK90:AK94"/>
    <mergeCell ref="I95:K95"/>
    <mergeCell ref="F90:F95"/>
    <mergeCell ref="AF90:AF94"/>
    <mergeCell ref="AG90:AG94"/>
    <mergeCell ref="AH90:AH94"/>
    <mergeCell ref="AI90:AI94"/>
    <mergeCell ref="S91:S93"/>
    <mergeCell ref="T91:T93"/>
    <mergeCell ref="U91:U93"/>
    <mergeCell ref="V91:V93"/>
    <mergeCell ref="W91:W93"/>
    <mergeCell ref="X91:X93"/>
    <mergeCell ref="Y91:Y93"/>
    <mergeCell ref="H90:H94"/>
    <mergeCell ref="I90:I94"/>
    <mergeCell ref="J90:J94"/>
    <mergeCell ref="K90:K94"/>
    <mergeCell ref="L90:L94"/>
    <mergeCell ref="M90:M94"/>
    <mergeCell ref="N91:N93"/>
    <mergeCell ref="O91:O93"/>
    <mergeCell ref="P97:P99"/>
    <mergeCell ref="Q97:Q99"/>
    <mergeCell ref="R97:R99"/>
    <mergeCell ref="G96:G100"/>
    <mergeCell ref="AJ96:AJ100"/>
    <mergeCell ref="AK96:AK100"/>
    <mergeCell ref="I101:K101"/>
    <mergeCell ref="F96:F101"/>
    <mergeCell ref="AF96:AF100"/>
    <mergeCell ref="AG96:AG100"/>
    <mergeCell ref="AH96:AH100"/>
    <mergeCell ref="AI96:AI100"/>
    <mergeCell ref="S97:S99"/>
    <mergeCell ref="T97:T99"/>
    <mergeCell ref="U97:U99"/>
    <mergeCell ref="V97:V99"/>
    <mergeCell ref="W97:W99"/>
    <mergeCell ref="X97:X99"/>
    <mergeCell ref="Y97:Y99"/>
    <mergeCell ref="H96:H100"/>
    <mergeCell ref="I96:I100"/>
    <mergeCell ref="J96:J100"/>
    <mergeCell ref="K96:K100"/>
    <mergeCell ref="L96:L100"/>
    <mergeCell ref="M96:M100"/>
    <mergeCell ref="N97:N99"/>
    <mergeCell ref="O97:O99"/>
    <mergeCell ref="P103:P105"/>
    <mergeCell ref="Q103:Q105"/>
    <mergeCell ref="R103:R105"/>
    <mergeCell ref="G102:G106"/>
    <mergeCell ref="AJ102:AJ106"/>
    <mergeCell ref="AK102:AK106"/>
    <mergeCell ref="I107:K107"/>
    <mergeCell ref="F102:F107"/>
    <mergeCell ref="AF102:AF106"/>
    <mergeCell ref="AG102:AG106"/>
    <mergeCell ref="AH102:AH106"/>
    <mergeCell ref="AI102:AI106"/>
    <mergeCell ref="S103:S105"/>
    <mergeCell ref="T103:T105"/>
    <mergeCell ref="U103:U105"/>
    <mergeCell ref="V103:V105"/>
    <mergeCell ref="W103:W105"/>
    <mergeCell ref="X103:X105"/>
    <mergeCell ref="Y103:Y105"/>
    <mergeCell ref="H102:H106"/>
    <mergeCell ref="I102:I106"/>
    <mergeCell ref="J102:J106"/>
    <mergeCell ref="K102:K106"/>
    <mergeCell ref="L102:L106"/>
    <mergeCell ref="M102:M106"/>
    <mergeCell ref="N103:N105"/>
    <mergeCell ref="O103:O105"/>
    <mergeCell ref="P109:P111"/>
    <mergeCell ref="Q109:Q111"/>
    <mergeCell ref="R109:R111"/>
    <mergeCell ref="G108:G112"/>
    <mergeCell ref="AJ108:AJ112"/>
    <mergeCell ref="AK108:AK112"/>
    <mergeCell ref="I113:K113"/>
    <mergeCell ref="F108:F113"/>
    <mergeCell ref="AF108:AF112"/>
    <mergeCell ref="AG108:AG112"/>
    <mergeCell ref="AH108:AH112"/>
    <mergeCell ref="AI108:AI112"/>
    <mergeCell ref="S109:S111"/>
    <mergeCell ref="T109:T111"/>
    <mergeCell ref="U109:U111"/>
    <mergeCell ref="V109:V111"/>
    <mergeCell ref="W109:W111"/>
    <mergeCell ref="X109:X111"/>
    <mergeCell ref="Y109:Y111"/>
    <mergeCell ref="H108:H112"/>
    <mergeCell ref="I108:I112"/>
    <mergeCell ref="J108:J112"/>
    <mergeCell ref="K108:K112"/>
    <mergeCell ref="L108:L112"/>
    <mergeCell ref="M108:M112"/>
    <mergeCell ref="N109:N111"/>
    <mergeCell ref="O109:O111"/>
    <mergeCell ref="P115:P117"/>
    <mergeCell ref="Q115:Q117"/>
    <mergeCell ref="R115:R117"/>
    <mergeCell ref="G114:G118"/>
    <mergeCell ref="AJ114:AJ118"/>
    <mergeCell ref="AK114:AK118"/>
    <mergeCell ref="I119:K119"/>
    <mergeCell ref="F114:F119"/>
    <mergeCell ref="AF114:AF118"/>
    <mergeCell ref="AG114:AG118"/>
    <mergeCell ref="AH114:AH118"/>
    <mergeCell ref="AI114:AI118"/>
    <mergeCell ref="S115:S117"/>
    <mergeCell ref="T115:T117"/>
    <mergeCell ref="U115:U117"/>
    <mergeCell ref="V115:V117"/>
    <mergeCell ref="W115:W117"/>
    <mergeCell ref="X115:X117"/>
    <mergeCell ref="Y115:Y117"/>
    <mergeCell ref="H114:H118"/>
    <mergeCell ref="I114:I118"/>
    <mergeCell ref="J114:J118"/>
    <mergeCell ref="K114:K118"/>
    <mergeCell ref="L114:L118"/>
    <mergeCell ref="M114:M118"/>
    <mergeCell ref="N115:N117"/>
    <mergeCell ref="O115:O117"/>
    <mergeCell ref="P121:P123"/>
    <mergeCell ref="Q121:Q123"/>
    <mergeCell ref="R121:R123"/>
    <mergeCell ref="G120:G124"/>
    <mergeCell ref="AJ120:AJ124"/>
    <mergeCell ref="AK120:AK124"/>
    <mergeCell ref="I125:K125"/>
    <mergeCell ref="F120:F125"/>
    <mergeCell ref="AF120:AF124"/>
    <mergeCell ref="AG120:AG124"/>
    <mergeCell ref="AH120:AH124"/>
    <mergeCell ref="AI120:AI124"/>
    <mergeCell ref="S121:S123"/>
    <mergeCell ref="T121:T123"/>
    <mergeCell ref="U121:U123"/>
    <mergeCell ref="V121:V123"/>
    <mergeCell ref="W121:W123"/>
    <mergeCell ref="X121:X123"/>
    <mergeCell ref="Y121:Y123"/>
    <mergeCell ref="H120:H124"/>
    <mergeCell ref="I120:I124"/>
    <mergeCell ref="J120:J124"/>
    <mergeCell ref="K120:K124"/>
    <mergeCell ref="L120:L124"/>
    <mergeCell ref="M120:M124"/>
    <mergeCell ref="N121:N123"/>
    <mergeCell ref="O121:O123"/>
    <mergeCell ref="P127:P129"/>
    <mergeCell ref="Q127:Q129"/>
    <mergeCell ref="R127:R129"/>
    <mergeCell ref="G126:G130"/>
    <mergeCell ref="AJ126:AJ130"/>
    <mergeCell ref="AK126:AK130"/>
    <mergeCell ref="I131:K131"/>
    <mergeCell ref="F126:F131"/>
    <mergeCell ref="AF126:AF130"/>
    <mergeCell ref="AG126:AG130"/>
    <mergeCell ref="AH126:AH130"/>
    <mergeCell ref="AI126:AI130"/>
    <mergeCell ref="S127:S129"/>
    <mergeCell ref="T127:T129"/>
    <mergeCell ref="U127:U129"/>
    <mergeCell ref="V127:V129"/>
    <mergeCell ref="W127:W129"/>
    <mergeCell ref="X127:X129"/>
    <mergeCell ref="Y127:Y129"/>
    <mergeCell ref="H126:H130"/>
    <mergeCell ref="I126:I130"/>
    <mergeCell ref="J126:J130"/>
    <mergeCell ref="K126:K130"/>
    <mergeCell ref="L126:L130"/>
    <mergeCell ref="M126:M130"/>
    <mergeCell ref="N127:N129"/>
    <mergeCell ref="O127:O129"/>
    <mergeCell ref="P133:P135"/>
    <mergeCell ref="Q133:Q135"/>
    <mergeCell ref="R133:R135"/>
    <mergeCell ref="G132:G136"/>
    <mergeCell ref="AJ132:AJ136"/>
    <mergeCell ref="AK132:AK136"/>
    <mergeCell ref="I137:K137"/>
    <mergeCell ref="F132:F137"/>
    <mergeCell ref="AF132:AF136"/>
    <mergeCell ref="AG132:AG136"/>
    <mergeCell ref="AH132:AH136"/>
    <mergeCell ref="AI132:AI136"/>
    <mergeCell ref="S133:S135"/>
    <mergeCell ref="T133:T135"/>
    <mergeCell ref="U133:U135"/>
    <mergeCell ref="V133:V135"/>
    <mergeCell ref="W133:W135"/>
    <mergeCell ref="X133:X135"/>
    <mergeCell ref="Y133:Y135"/>
    <mergeCell ref="H132:H136"/>
    <mergeCell ref="I132:I136"/>
    <mergeCell ref="J132:J136"/>
    <mergeCell ref="K132:K136"/>
    <mergeCell ref="L132:L136"/>
    <mergeCell ref="M132:M136"/>
    <mergeCell ref="N133:N135"/>
    <mergeCell ref="O133:O135"/>
    <mergeCell ref="P139:P141"/>
    <mergeCell ref="Q139:Q141"/>
    <mergeCell ref="R139:R141"/>
    <mergeCell ref="G138:G142"/>
    <mergeCell ref="AJ138:AJ142"/>
    <mergeCell ref="AK138:AK142"/>
    <mergeCell ref="I143:K143"/>
    <mergeCell ref="F138:F143"/>
    <mergeCell ref="AF138:AF142"/>
    <mergeCell ref="AG138:AG142"/>
    <mergeCell ref="AH138:AH142"/>
    <mergeCell ref="AI138:AI142"/>
    <mergeCell ref="S139:S141"/>
    <mergeCell ref="T139:T141"/>
    <mergeCell ref="U139:U141"/>
    <mergeCell ref="V139:V141"/>
    <mergeCell ref="W139:W141"/>
    <mergeCell ref="X139:X141"/>
    <mergeCell ref="Y139:Y141"/>
    <mergeCell ref="H138:H142"/>
    <mergeCell ref="I138:I142"/>
    <mergeCell ref="J138:J142"/>
    <mergeCell ref="K138:K142"/>
    <mergeCell ref="L138:L142"/>
    <mergeCell ref="M138:M142"/>
    <mergeCell ref="N139:N141"/>
    <mergeCell ref="O139:O141"/>
    <mergeCell ref="P145:P147"/>
    <mergeCell ref="Q145:Q147"/>
    <mergeCell ref="R145:R147"/>
    <mergeCell ref="G144:G148"/>
    <mergeCell ref="AJ144:AJ148"/>
    <mergeCell ref="AK144:AK148"/>
    <mergeCell ref="I149:K149"/>
    <mergeCell ref="F144:F149"/>
    <mergeCell ref="AF144:AF148"/>
    <mergeCell ref="AG144:AG148"/>
    <mergeCell ref="AH144:AH148"/>
    <mergeCell ref="AI144:AI148"/>
    <mergeCell ref="S145:S147"/>
    <mergeCell ref="T145:T147"/>
    <mergeCell ref="U145:U147"/>
    <mergeCell ref="V145:V147"/>
    <mergeCell ref="W145:W147"/>
    <mergeCell ref="X145:X147"/>
    <mergeCell ref="Y145:Y147"/>
    <mergeCell ref="H144:H148"/>
    <mergeCell ref="I144:I148"/>
    <mergeCell ref="J144:J148"/>
    <mergeCell ref="K144:K148"/>
    <mergeCell ref="L144:L148"/>
    <mergeCell ref="M144:M148"/>
    <mergeCell ref="N145:N147"/>
    <mergeCell ref="O145:O147"/>
    <mergeCell ref="P151:P153"/>
    <mergeCell ref="Q151:Q153"/>
    <mergeCell ref="R151:R153"/>
    <mergeCell ref="G150:G154"/>
    <mergeCell ref="AJ150:AJ154"/>
    <mergeCell ref="AK150:AK154"/>
    <mergeCell ref="I155:K155"/>
    <mergeCell ref="F150:F155"/>
    <mergeCell ref="AF150:AF154"/>
    <mergeCell ref="AG150:AG154"/>
    <mergeCell ref="AH150:AH154"/>
    <mergeCell ref="AI150:AI154"/>
    <mergeCell ref="S151:S153"/>
    <mergeCell ref="T151:T153"/>
    <mergeCell ref="U151:U153"/>
    <mergeCell ref="V151:V153"/>
    <mergeCell ref="W151:W153"/>
    <mergeCell ref="X151:X153"/>
    <mergeCell ref="Y151:Y153"/>
    <mergeCell ref="H150:H154"/>
    <mergeCell ref="I150:I154"/>
    <mergeCell ref="J150:J154"/>
    <mergeCell ref="K150:K154"/>
    <mergeCell ref="L150:L154"/>
    <mergeCell ref="M150:M154"/>
    <mergeCell ref="N151:N153"/>
    <mergeCell ref="O151:O153"/>
    <mergeCell ref="P157:P159"/>
    <mergeCell ref="Q157:Q159"/>
    <mergeCell ref="R157:R159"/>
    <mergeCell ref="G156:G160"/>
    <mergeCell ref="AJ156:AJ160"/>
    <mergeCell ref="AK156:AK160"/>
    <mergeCell ref="I161:K161"/>
    <mergeCell ref="F156:F161"/>
    <mergeCell ref="AF156:AF160"/>
    <mergeCell ref="AG156:AG160"/>
    <mergeCell ref="AH156:AH160"/>
    <mergeCell ref="AI156:AI160"/>
    <mergeCell ref="S157:S159"/>
    <mergeCell ref="T157:T159"/>
    <mergeCell ref="U157:U159"/>
    <mergeCell ref="V157:V159"/>
    <mergeCell ref="W157:W159"/>
    <mergeCell ref="X157:X159"/>
    <mergeCell ref="Y157:Y159"/>
    <mergeCell ref="H156:H160"/>
    <mergeCell ref="I156:I160"/>
    <mergeCell ref="J156:J160"/>
    <mergeCell ref="K156:K160"/>
    <mergeCell ref="L156:L160"/>
    <mergeCell ref="M156:M160"/>
    <mergeCell ref="N157:N159"/>
    <mergeCell ref="O157:O159"/>
    <mergeCell ref="P163:P165"/>
    <mergeCell ref="Q163:Q165"/>
    <mergeCell ref="R163:R165"/>
    <mergeCell ref="G162:G166"/>
    <mergeCell ref="AJ162:AJ166"/>
    <mergeCell ref="AK162:AK166"/>
    <mergeCell ref="I167:K167"/>
    <mergeCell ref="F162:F167"/>
    <mergeCell ref="AF162:AF166"/>
    <mergeCell ref="AG162:AG166"/>
    <mergeCell ref="AH162:AH166"/>
    <mergeCell ref="AI162:AI166"/>
    <mergeCell ref="S163:S165"/>
    <mergeCell ref="T163:T165"/>
    <mergeCell ref="U163:U165"/>
    <mergeCell ref="V163:V165"/>
    <mergeCell ref="W163:W165"/>
    <mergeCell ref="X163:X165"/>
    <mergeCell ref="Y163:Y165"/>
    <mergeCell ref="H162:H166"/>
    <mergeCell ref="I162:I166"/>
    <mergeCell ref="J162:J166"/>
    <mergeCell ref="K162:K166"/>
    <mergeCell ref="L162:L166"/>
    <mergeCell ref="M162:M166"/>
    <mergeCell ref="N163:N165"/>
    <mergeCell ref="O163:O165"/>
    <mergeCell ref="P169:P171"/>
    <mergeCell ref="Q169:Q171"/>
    <mergeCell ref="R169:R171"/>
    <mergeCell ref="G168:G172"/>
    <mergeCell ref="AJ168:AJ172"/>
    <mergeCell ref="AK168:AK172"/>
    <mergeCell ref="I173:K173"/>
    <mergeCell ref="F168:F173"/>
    <mergeCell ref="AF168:AF172"/>
    <mergeCell ref="AG168:AG172"/>
    <mergeCell ref="AH168:AH172"/>
    <mergeCell ref="AI168:AI172"/>
    <mergeCell ref="S169:S171"/>
    <mergeCell ref="T169:T171"/>
    <mergeCell ref="U169:U171"/>
    <mergeCell ref="V169:V171"/>
    <mergeCell ref="W169:W171"/>
    <mergeCell ref="X169:X171"/>
    <mergeCell ref="Y169:Y171"/>
    <mergeCell ref="H168:H172"/>
    <mergeCell ref="I168:I172"/>
    <mergeCell ref="J168:J172"/>
    <mergeCell ref="K168:K172"/>
    <mergeCell ref="L168:L172"/>
    <mergeCell ref="M168:M172"/>
    <mergeCell ref="N169:N171"/>
    <mergeCell ref="O169:O171"/>
    <mergeCell ref="P175:P177"/>
    <mergeCell ref="Q175:Q177"/>
    <mergeCell ref="R175:R177"/>
    <mergeCell ref="G174:G178"/>
    <mergeCell ref="AJ174:AJ178"/>
    <mergeCell ref="AK174:AK178"/>
    <mergeCell ref="I179:K179"/>
    <mergeCell ref="F174:F179"/>
    <mergeCell ref="AF174:AF178"/>
    <mergeCell ref="AG174:AG178"/>
    <mergeCell ref="AH174:AH178"/>
    <mergeCell ref="AI174:AI178"/>
    <mergeCell ref="S175:S177"/>
    <mergeCell ref="T175:T177"/>
    <mergeCell ref="U175:U177"/>
    <mergeCell ref="V175:V177"/>
    <mergeCell ref="W175:W177"/>
    <mergeCell ref="X175:X177"/>
    <mergeCell ref="Y175:Y177"/>
    <mergeCell ref="H174:H178"/>
    <mergeCell ref="I174:I178"/>
    <mergeCell ref="J174:J178"/>
    <mergeCell ref="K174:K178"/>
    <mergeCell ref="L174:L178"/>
    <mergeCell ref="M174:M178"/>
    <mergeCell ref="N175:N177"/>
    <mergeCell ref="O175:O177"/>
    <mergeCell ref="P181:P183"/>
    <mergeCell ref="Q181:Q183"/>
    <mergeCell ref="R181:R183"/>
    <mergeCell ref="G180:G184"/>
    <mergeCell ref="AJ180:AJ184"/>
    <mergeCell ref="AK180:AK184"/>
    <mergeCell ref="I185:K185"/>
    <mergeCell ref="F180:F185"/>
    <mergeCell ref="AF180:AF184"/>
    <mergeCell ref="AG180:AG184"/>
    <mergeCell ref="AH180:AH184"/>
    <mergeCell ref="AI180:AI184"/>
    <mergeCell ref="S181:S183"/>
    <mergeCell ref="T181:T183"/>
    <mergeCell ref="U181:U183"/>
    <mergeCell ref="V181:V183"/>
    <mergeCell ref="W181:W183"/>
    <mergeCell ref="X181:X183"/>
    <mergeCell ref="Y181:Y183"/>
    <mergeCell ref="H180:H184"/>
    <mergeCell ref="I180:I184"/>
    <mergeCell ref="J180:J184"/>
    <mergeCell ref="K180:K184"/>
    <mergeCell ref="L180:L184"/>
    <mergeCell ref="M180:M184"/>
    <mergeCell ref="N181:N183"/>
    <mergeCell ref="O181:O183"/>
    <mergeCell ref="P187:P189"/>
    <mergeCell ref="Q187:Q189"/>
    <mergeCell ref="R187:R189"/>
    <mergeCell ref="G186:G190"/>
    <mergeCell ref="AJ186:AJ190"/>
    <mergeCell ref="AK186:AK190"/>
    <mergeCell ref="I191:K191"/>
    <mergeCell ref="F186:F191"/>
    <mergeCell ref="AF186:AF190"/>
    <mergeCell ref="AG186:AG190"/>
    <mergeCell ref="AH186:AH190"/>
    <mergeCell ref="AI186:AI190"/>
    <mergeCell ref="S187:S189"/>
    <mergeCell ref="T187:T189"/>
    <mergeCell ref="U187:U189"/>
    <mergeCell ref="V187:V189"/>
    <mergeCell ref="W187:W189"/>
    <mergeCell ref="X187:X189"/>
    <mergeCell ref="Y187:Y189"/>
    <mergeCell ref="H186:H190"/>
    <mergeCell ref="I186:I190"/>
    <mergeCell ref="J186:J190"/>
    <mergeCell ref="K186:K190"/>
    <mergeCell ref="L186:L190"/>
    <mergeCell ref="M186:M190"/>
    <mergeCell ref="N187:N189"/>
    <mergeCell ref="O187:O189"/>
    <mergeCell ref="P193:P195"/>
    <mergeCell ref="Q193:Q195"/>
    <mergeCell ref="R193:R195"/>
    <mergeCell ref="G192:G196"/>
    <mergeCell ref="AJ192:AJ196"/>
    <mergeCell ref="AK192:AK196"/>
    <mergeCell ref="I197:K197"/>
    <mergeCell ref="F192:F197"/>
    <mergeCell ref="AF192:AF196"/>
    <mergeCell ref="AG192:AG196"/>
    <mergeCell ref="AH192:AH196"/>
    <mergeCell ref="AI192:AI196"/>
    <mergeCell ref="S193:S195"/>
    <mergeCell ref="T193:T195"/>
    <mergeCell ref="U193:U195"/>
    <mergeCell ref="V193:V195"/>
    <mergeCell ref="W193:W195"/>
    <mergeCell ref="X193:X195"/>
    <mergeCell ref="Y193:Y195"/>
    <mergeCell ref="H192:H196"/>
    <mergeCell ref="I192:I196"/>
    <mergeCell ref="J192:J196"/>
    <mergeCell ref="K192:K196"/>
    <mergeCell ref="L192:L196"/>
    <mergeCell ref="M192:M196"/>
    <mergeCell ref="N193:N195"/>
    <mergeCell ref="O193:O195"/>
    <mergeCell ref="P199:P201"/>
    <mergeCell ref="Q199:Q201"/>
    <mergeCell ref="R199:R201"/>
    <mergeCell ref="G198:G202"/>
    <mergeCell ref="AJ198:AJ202"/>
    <mergeCell ref="AK198:AK202"/>
    <mergeCell ref="I203:K203"/>
    <mergeCell ref="F198:F203"/>
    <mergeCell ref="AF198:AF202"/>
    <mergeCell ref="AG198:AG202"/>
    <mergeCell ref="AH198:AH202"/>
    <mergeCell ref="AI198:AI202"/>
    <mergeCell ref="S199:S201"/>
    <mergeCell ref="T199:T201"/>
    <mergeCell ref="U199:U201"/>
    <mergeCell ref="V199:V201"/>
    <mergeCell ref="W199:W201"/>
    <mergeCell ref="X199:X201"/>
    <mergeCell ref="Y199:Y201"/>
    <mergeCell ref="H198:H202"/>
    <mergeCell ref="I198:I202"/>
    <mergeCell ref="J198:J202"/>
    <mergeCell ref="K198:K202"/>
    <mergeCell ref="L198:L202"/>
    <mergeCell ref="M198:M202"/>
    <mergeCell ref="N199:N201"/>
    <mergeCell ref="O199:O201"/>
    <mergeCell ref="P205:P207"/>
    <mergeCell ref="Q205:Q207"/>
    <mergeCell ref="R205:R207"/>
    <mergeCell ref="G204:G208"/>
    <mergeCell ref="AJ204:AJ208"/>
    <mergeCell ref="AK204:AK208"/>
    <mergeCell ref="I209:K209"/>
    <mergeCell ref="F204:F209"/>
    <mergeCell ref="AF204:AF208"/>
    <mergeCell ref="AG204:AG208"/>
    <mergeCell ref="AH204:AH208"/>
    <mergeCell ref="AI204:AI208"/>
    <mergeCell ref="S205:S207"/>
    <mergeCell ref="T205:T207"/>
    <mergeCell ref="U205:U207"/>
    <mergeCell ref="V205:V207"/>
    <mergeCell ref="W205:W207"/>
    <mergeCell ref="X205:X207"/>
    <mergeCell ref="Y205:Y207"/>
    <mergeCell ref="H204:H208"/>
    <mergeCell ref="I204:I208"/>
    <mergeCell ref="J204:J208"/>
    <mergeCell ref="K204:K208"/>
    <mergeCell ref="L204:L208"/>
    <mergeCell ref="M204:M208"/>
    <mergeCell ref="N205:N207"/>
    <mergeCell ref="O205:O207"/>
    <mergeCell ref="P211:P213"/>
    <mergeCell ref="Q211:Q213"/>
    <mergeCell ref="R211:R213"/>
    <mergeCell ref="G210:G214"/>
    <mergeCell ref="AJ210:AJ214"/>
    <mergeCell ref="AK210:AK214"/>
    <mergeCell ref="I215:K215"/>
    <mergeCell ref="F210:F215"/>
    <mergeCell ref="AF210:AF214"/>
    <mergeCell ref="AG210:AG214"/>
    <mergeCell ref="AH210:AH214"/>
    <mergeCell ref="AI210:AI214"/>
    <mergeCell ref="S211:S213"/>
    <mergeCell ref="T211:T213"/>
    <mergeCell ref="U211:U213"/>
    <mergeCell ref="V211:V213"/>
    <mergeCell ref="W211:W213"/>
    <mergeCell ref="X211:X213"/>
    <mergeCell ref="Y211:Y213"/>
    <mergeCell ref="H210:H214"/>
    <mergeCell ref="I210:I214"/>
    <mergeCell ref="J210:J214"/>
    <mergeCell ref="K210:K214"/>
    <mergeCell ref="L210:L214"/>
    <mergeCell ref="M210:M214"/>
    <mergeCell ref="N211:N213"/>
    <mergeCell ref="O211:O213"/>
    <mergeCell ref="P217:P219"/>
    <mergeCell ref="Q217:Q219"/>
    <mergeCell ref="R217:R219"/>
    <mergeCell ref="G216:G220"/>
    <mergeCell ref="AJ216:AJ220"/>
    <mergeCell ref="AK216:AK220"/>
    <mergeCell ref="I221:K221"/>
    <mergeCell ref="F216:F221"/>
    <mergeCell ref="AF216:AF220"/>
    <mergeCell ref="AG216:AG220"/>
    <mergeCell ref="AH216:AH220"/>
    <mergeCell ref="AI216:AI220"/>
    <mergeCell ref="S217:S219"/>
    <mergeCell ref="T217:T219"/>
    <mergeCell ref="U217:U219"/>
    <mergeCell ref="V217:V219"/>
    <mergeCell ref="W217:W219"/>
    <mergeCell ref="X217:X219"/>
    <mergeCell ref="Y217:Y219"/>
    <mergeCell ref="H216:H220"/>
    <mergeCell ref="I216:I220"/>
    <mergeCell ref="J216:J220"/>
    <mergeCell ref="K216:K220"/>
    <mergeCell ref="L216:L220"/>
    <mergeCell ref="M216:M220"/>
    <mergeCell ref="N217:N219"/>
    <mergeCell ref="O217:O219"/>
    <mergeCell ref="P223:P225"/>
    <mergeCell ref="Q223:Q225"/>
    <mergeCell ref="R223:R225"/>
    <mergeCell ref="G222:G226"/>
    <mergeCell ref="AJ222:AJ226"/>
    <mergeCell ref="AK222:AK226"/>
    <mergeCell ref="I227:K227"/>
    <mergeCell ref="F222:F227"/>
    <mergeCell ref="AF222:AF226"/>
    <mergeCell ref="AG222:AG226"/>
    <mergeCell ref="AH222:AH226"/>
    <mergeCell ref="AI222:AI226"/>
    <mergeCell ref="S223:S225"/>
    <mergeCell ref="T223:T225"/>
    <mergeCell ref="U223:U225"/>
    <mergeCell ref="V223:V225"/>
    <mergeCell ref="W223:W225"/>
    <mergeCell ref="X223:X225"/>
    <mergeCell ref="Y223:Y225"/>
    <mergeCell ref="H222:H226"/>
    <mergeCell ref="I222:I226"/>
    <mergeCell ref="J222:J226"/>
    <mergeCell ref="K222:K226"/>
    <mergeCell ref="L222:L226"/>
    <mergeCell ref="M222:M226"/>
    <mergeCell ref="N223:N225"/>
    <mergeCell ref="O223:O225"/>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P230:P232"/>
    <mergeCell ref="Q230:Q232"/>
    <mergeCell ref="R230:R232"/>
    <mergeCell ref="G229:G233"/>
    <mergeCell ref="AJ229:AJ233"/>
    <mergeCell ref="AK229:AK233"/>
    <mergeCell ref="I252:K252"/>
    <mergeCell ref="F229:F252"/>
    <mergeCell ref="AF229:AF233"/>
    <mergeCell ref="AG229:AG233"/>
    <mergeCell ref="AH229:AH233"/>
    <mergeCell ref="AI229:AI233"/>
    <mergeCell ref="S230:S232"/>
    <mergeCell ref="T230:T232"/>
    <mergeCell ref="U230:U232"/>
    <mergeCell ref="V230:V232"/>
    <mergeCell ref="W230:W232"/>
    <mergeCell ref="X230:X232"/>
    <mergeCell ref="Y230:Y232"/>
    <mergeCell ref="H229:H233"/>
    <mergeCell ref="I229:I233"/>
    <mergeCell ref="J229:J233"/>
    <mergeCell ref="K229:K233"/>
    <mergeCell ref="L229:L233"/>
    <mergeCell ref="M229:M233"/>
    <mergeCell ref="N230:N232"/>
    <mergeCell ref="O230:O232"/>
    <mergeCell ref="P254:P256"/>
    <mergeCell ref="Q254:Q256"/>
    <mergeCell ref="R254:R256"/>
    <mergeCell ref="G253:G257"/>
    <mergeCell ref="AJ253:AJ257"/>
    <mergeCell ref="AK253:AK257"/>
    <mergeCell ref="I264:K264"/>
    <mergeCell ref="F253:F264"/>
    <mergeCell ref="AF253:AF257"/>
    <mergeCell ref="AG253:AG257"/>
    <mergeCell ref="AH253:AH257"/>
    <mergeCell ref="AI253:AI257"/>
    <mergeCell ref="S254:S256"/>
    <mergeCell ref="T254:T256"/>
    <mergeCell ref="U254:U256"/>
    <mergeCell ref="V254:V256"/>
    <mergeCell ref="W254:W256"/>
    <mergeCell ref="X254:X256"/>
    <mergeCell ref="Y254:Y256"/>
    <mergeCell ref="H253:H257"/>
    <mergeCell ref="I253:I257"/>
    <mergeCell ref="J253:J257"/>
    <mergeCell ref="K253:K257"/>
    <mergeCell ref="L253:L257"/>
    <mergeCell ref="M253:M257"/>
    <mergeCell ref="N254:N256"/>
    <mergeCell ref="O254:O256"/>
    <mergeCell ref="P266:P268"/>
    <mergeCell ref="Q266:Q268"/>
    <mergeCell ref="R266:R268"/>
    <mergeCell ref="G265:G269"/>
    <mergeCell ref="AJ265:AJ269"/>
    <mergeCell ref="AK265:AK269"/>
    <mergeCell ref="I270:K270"/>
    <mergeCell ref="F265:F270"/>
    <mergeCell ref="AF265:AF269"/>
    <mergeCell ref="AG265:AG269"/>
    <mergeCell ref="AH265:AH269"/>
    <mergeCell ref="AI265:AI269"/>
    <mergeCell ref="S266:S268"/>
    <mergeCell ref="T266:T268"/>
    <mergeCell ref="U266:U268"/>
    <mergeCell ref="V266:V268"/>
    <mergeCell ref="W266:W268"/>
    <mergeCell ref="X266:X268"/>
    <mergeCell ref="Y266:Y268"/>
    <mergeCell ref="H265:H269"/>
    <mergeCell ref="I265:I269"/>
    <mergeCell ref="J265:J269"/>
    <mergeCell ref="K265:K269"/>
    <mergeCell ref="L265:L269"/>
    <mergeCell ref="M265:M269"/>
    <mergeCell ref="N266:N268"/>
    <mergeCell ref="O266:O268"/>
    <mergeCell ref="P272:P274"/>
    <mergeCell ref="Q272:Q274"/>
    <mergeCell ref="R272:R274"/>
    <mergeCell ref="G271:G275"/>
    <mergeCell ref="AJ271:AJ275"/>
    <mergeCell ref="AK271:AK275"/>
    <mergeCell ref="I276:K276"/>
    <mergeCell ref="F271:F276"/>
    <mergeCell ref="AF271:AF275"/>
    <mergeCell ref="AG271:AG275"/>
    <mergeCell ref="AH271:AH275"/>
    <mergeCell ref="AI271:AI275"/>
    <mergeCell ref="S272:S274"/>
    <mergeCell ref="T272:T274"/>
    <mergeCell ref="U272:U274"/>
    <mergeCell ref="V272:V274"/>
    <mergeCell ref="W272:W274"/>
    <mergeCell ref="X272:X274"/>
    <mergeCell ref="Y272:Y274"/>
    <mergeCell ref="H271:H275"/>
    <mergeCell ref="I271:I275"/>
    <mergeCell ref="J271:J275"/>
    <mergeCell ref="K271:K275"/>
    <mergeCell ref="L271:L275"/>
    <mergeCell ref="M271:M275"/>
    <mergeCell ref="N272:N274"/>
    <mergeCell ref="O272:O274"/>
    <mergeCell ref="P278:P280"/>
    <mergeCell ref="Q278:Q280"/>
    <mergeCell ref="R278:R280"/>
    <mergeCell ref="G277:G281"/>
    <mergeCell ref="AJ277:AJ281"/>
    <mergeCell ref="AK277:AK281"/>
    <mergeCell ref="I282:K282"/>
    <mergeCell ref="F277:F282"/>
    <mergeCell ref="AF277:AF281"/>
    <mergeCell ref="AG277:AG281"/>
    <mergeCell ref="AH277:AH281"/>
    <mergeCell ref="AI277:AI281"/>
    <mergeCell ref="S278:S280"/>
    <mergeCell ref="T278:T280"/>
    <mergeCell ref="U278:U280"/>
    <mergeCell ref="V278:V280"/>
    <mergeCell ref="W278:W280"/>
    <mergeCell ref="X278:X280"/>
    <mergeCell ref="Y278:Y280"/>
    <mergeCell ref="H277:H281"/>
    <mergeCell ref="I277:I281"/>
    <mergeCell ref="J277:J281"/>
    <mergeCell ref="K277:K281"/>
    <mergeCell ref="L277:L281"/>
    <mergeCell ref="M277:M281"/>
    <mergeCell ref="N278:N280"/>
    <mergeCell ref="O278:O280"/>
    <mergeCell ref="P284:P286"/>
    <mergeCell ref="Q284:Q286"/>
    <mergeCell ref="R284:R286"/>
    <mergeCell ref="G283:G287"/>
    <mergeCell ref="AJ283:AJ287"/>
    <mergeCell ref="AK283:AK287"/>
    <mergeCell ref="I288:K288"/>
    <mergeCell ref="F283:F288"/>
    <mergeCell ref="AF283:AF287"/>
    <mergeCell ref="AG283:AG287"/>
    <mergeCell ref="AH283:AH287"/>
    <mergeCell ref="AI283:AI287"/>
    <mergeCell ref="S284:S286"/>
    <mergeCell ref="T284:T286"/>
    <mergeCell ref="U284:U286"/>
    <mergeCell ref="V284:V286"/>
    <mergeCell ref="W284:W286"/>
    <mergeCell ref="X284:X286"/>
    <mergeCell ref="Y284:Y286"/>
    <mergeCell ref="H283:H287"/>
    <mergeCell ref="I283:I287"/>
    <mergeCell ref="J283:J287"/>
    <mergeCell ref="K283:K287"/>
    <mergeCell ref="L283:L287"/>
    <mergeCell ref="M283:M287"/>
    <mergeCell ref="N284:N286"/>
    <mergeCell ref="O284:O286"/>
    <mergeCell ref="P290:P292"/>
    <mergeCell ref="Q290:Q292"/>
    <mergeCell ref="R290:R292"/>
    <mergeCell ref="G289:G293"/>
    <mergeCell ref="AJ289:AJ293"/>
    <mergeCell ref="AK289:AK293"/>
    <mergeCell ref="I294:K294"/>
    <mergeCell ref="F289:F294"/>
    <mergeCell ref="AF289:AF293"/>
    <mergeCell ref="AG289:AG293"/>
    <mergeCell ref="AH289:AH293"/>
    <mergeCell ref="AI289:AI293"/>
    <mergeCell ref="S290:S292"/>
    <mergeCell ref="T290:T292"/>
    <mergeCell ref="U290:U292"/>
    <mergeCell ref="V290:V292"/>
    <mergeCell ref="W290:W292"/>
    <mergeCell ref="X290:X292"/>
    <mergeCell ref="Y290:Y292"/>
    <mergeCell ref="H289:H293"/>
    <mergeCell ref="I289:I293"/>
    <mergeCell ref="J289:J293"/>
    <mergeCell ref="K289:K293"/>
    <mergeCell ref="L289:L293"/>
    <mergeCell ref="M289:M293"/>
    <mergeCell ref="N290:N292"/>
    <mergeCell ref="O290:O292"/>
    <mergeCell ref="P296:P298"/>
    <mergeCell ref="Q296:Q298"/>
    <mergeCell ref="R296:R298"/>
    <mergeCell ref="G295:G299"/>
    <mergeCell ref="AJ295:AJ299"/>
    <mergeCell ref="AK295:AK299"/>
    <mergeCell ref="I300:K300"/>
    <mergeCell ref="F295:F300"/>
    <mergeCell ref="AF295:AF299"/>
    <mergeCell ref="AG295:AG299"/>
    <mergeCell ref="AH295:AH299"/>
    <mergeCell ref="AI295:AI299"/>
    <mergeCell ref="S296:S298"/>
    <mergeCell ref="T296:T298"/>
    <mergeCell ref="U296:U298"/>
    <mergeCell ref="V296:V298"/>
    <mergeCell ref="W296:W298"/>
    <mergeCell ref="X296:X298"/>
    <mergeCell ref="Y296:Y298"/>
    <mergeCell ref="H295:H299"/>
    <mergeCell ref="I295:I299"/>
    <mergeCell ref="J295:J299"/>
    <mergeCell ref="K295:K299"/>
    <mergeCell ref="L295:L299"/>
    <mergeCell ref="M295:M299"/>
    <mergeCell ref="N296:N298"/>
    <mergeCell ref="O296:O298"/>
    <mergeCell ref="P302:P304"/>
    <mergeCell ref="Q302:Q304"/>
    <mergeCell ref="R302:R304"/>
    <mergeCell ref="G301:G305"/>
    <mergeCell ref="AJ301:AJ305"/>
    <mergeCell ref="AK301:AK305"/>
    <mergeCell ref="I306:K306"/>
    <mergeCell ref="F301:F306"/>
    <mergeCell ref="AF301:AF305"/>
    <mergeCell ref="AG301:AG305"/>
    <mergeCell ref="AH301:AH305"/>
    <mergeCell ref="AI301:AI305"/>
    <mergeCell ref="S302:S304"/>
    <mergeCell ref="T302:T304"/>
    <mergeCell ref="U302:U304"/>
    <mergeCell ref="V302:V304"/>
    <mergeCell ref="W302:W304"/>
    <mergeCell ref="X302:X304"/>
    <mergeCell ref="Y302:Y304"/>
    <mergeCell ref="H301:H305"/>
    <mergeCell ref="I301:I305"/>
    <mergeCell ref="J301:J305"/>
    <mergeCell ref="K301:K305"/>
    <mergeCell ref="L301:L305"/>
    <mergeCell ref="M301:M305"/>
    <mergeCell ref="N302:N304"/>
    <mergeCell ref="O302:O304"/>
    <mergeCell ref="P308:P310"/>
    <mergeCell ref="Q308:Q310"/>
    <mergeCell ref="R308:R310"/>
    <mergeCell ref="G307:G311"/>
    <mergeCell ref="AJ307:AJ311"/>
    <mergeCell ref="AK307:AK311"/>
    <mergeCell ref="I312:K312"/>
    <mergeCell ref="F307:F312"/>
    <mergeCell ref="AF307:AF311"/>
    <mergeCell ref="AG307:AG311"/>
    <mergeCell ref="AH307:AH311"/>
    <mergeCell ref="AI307:AI311"/>
    <mergeCell ref="S308:S310"/>
    <mergeCell ref="T308:T310"/>
    <mergeCell ref="U308:U310"/>
    <mergeCell ref="V308:V310"/>
    <mergeCell ref="W308:W310"/>
    <mergeCell ref="X308:X310"/>
    <mergeCell ref="Y308:Y310"/>
    <mergeCell ref="H307:H311"/>
    <mergeCell ref="I307:I311"/>
    <mergeCell ref="J307:J311"/>
    <mergeCell ref="K307:K311"/>
    <mergeCell ref="L307:L311"/>
    <mergeCell ref="M307:M311"/>
    <mergeCell ref="N308:N310"/>
    <mergeCell ref="O308:O310"/>
    <mergeCell ref="H234:H239"/>
    <mergeCell ref="I234:I239"/>
    <mergeCell ref="J234:J239"/>
    <mergeCell ref="K234:K239"/>
    <mergeCell ref="L234:L239"/>
    <mergeCell ref="M234:M239"/>
    <mergeCell ref="AF234:AF239"/>
    <mergeCell ref="AG234:AG239"/>
    <mergeCell ref="AH234:AH239"/>
    <mergeCell ref="AI234:AI239"/>
    <mergeCell ref="AJ234:AJ239"/>
    <mergeCell ref="AK234:AK239"/>
    <mergeCell ref="N235:N238"/>
    <mergeCell ref="O235:O238"/>
    <mergeCell ref="P235:P238"/>
    <mergeCell ref="Q235:Q238"/>
    <mergeCell ref="R235:R238"/>
    <mergeCell ref="S235:S238"/>
    <mergeCell ref="T235:T238"/>
    <mergeCell ref="U235:U238"/>
    <mergeCell ref="V235:V238"/>
    <mergeCell ref="W235:W238"/>
    <mergeCell ref="X235:X238"/>
    <mergeCell ref="Y235:Y238"/>
    <mergeCell ref="G234:G239"/>
    <mergeCell ref="H240:H245"/>
    <mergeCell ref="I240:I245"/>
    <mergeCell ref="J240:J245"/>
    <mergeCell ref="K240:K245"/>
    <mergeCell ref="L240:L245"/>
    <mergeCell ref="M240:M245"/>
    <mergeCell ref="AF240:AF245"/>
    <mergeCell ref="AG240:AG245"/>
    <mergeCell ref="AH240:AH245"/>
    <mergeCell ref="AI240:AI245"/>
    <mergeCell ref="AJ240:AJ245"/>
    <mergeCell ref="AK240:AK245"/>
    <mergeCell ref="N241:N244"/>
    <mergeCell ref="O241:O244"/>
    <mergeCell ref="P241:P244"/>
    <mergeCell ref="Q241:Q244"/>
    <mergeCell ref="R241:R244"/>
    <mergeCell ref="S241:S244"/>
    <mergeCell ref="T241:T244"/>
    <mergeCell ref="U241:U244"/>
    <mergeCell ref="V241:V244"/>
    <mergeCell ref="W241:W244"/>
    <mergeCell ref="X241:X244"/>
    <mergeCell ref="Y241:Y244"/>
    <mergeCell ref="G240:G245"/>
    <mergeCell ref="H246:H251"/>
    <mergeCell ref="I246:I251"/>
    <mergeCell ref="J246:J251"/>
    <mergeCell ref="K246:K251"/>
    <mergeCell ref="L246:L251"/>
    <mergeCell ref="M246:M251"/>
    <mergeCell ref="AF246:AF251"/>
    <mergeCell ref="AG246:AG251"/>
    <mergeCell ref="AH246:AH251"/>
    <mergeCell ref="AI246:AI251"/>
    <mergeCell ref="AJ246:AJ251"/>
    <mergeCell ref="AK246:AK251"/>
    <mergeCell ref="N247:N250"/>
    <mergeCell ref="O247:O250"/>
    <mergeCell ref="P247:P250"/>
    <mergeCell ref="Q247:Q250"/>
    <mergeCell ref="R247:R250"/>
    <mergeCell ref="S247:S250"/>
    <mergeCell ref="T247:T250"/>
    <mergeCell ref="U247:U250"/>
    <mergeCell ref="V247:V250"/>
    <mergeCell ref="W247:W250"/>
    <mergeCell ref="X247:X250"/>
    <mergeCell ref="Y247:Y250"/>
    <mergeCell ref="G246:G251"/>
    <mergeCell ref="H258:H263"/>
    <mergeCell ref="I258:I263"/>
    <mergeCell ref="J258:J263"/>
    <mergeCell ref="K258:K263"/>
    <mergeCell ref="L258:L263"/>
    <mergeCell ref="M258:M263"/>
    <mergeCell ref="AF258:AF263"/>
    <mergeCell ref="AG258:AG263"/>
    <mergeCell ref="AH258:AH263"/>
    <mergeCell ref="AI258:AI263"/>
    <mergeCell ref="AJ258:AJ263"/>
    <mergeCell ref="AK258:AK263"/>
    <mergeCell ref="N259:N262"/>
    <mergeCell ref="O259:O262"/>
    <mergeCell ref="P259:P262"/>
    <mergeCell ref="Q259:Q262"/>
    <mergeCell ref="R259:R262"/>
    <mergeCell ref="S259:S262"/>
    <mergeCell ref="T259:T262"/>
    <mergeCell ref="U259:U262"/>
    <mergeCell ref="V259:V262"/>
    <mergeCell ref="W259:W262"/>
    <mergeCell ref="X259:X262"/>
    <mergeCell ref="Y259:Y262"/>
    <mergeCell ref="G258:G263"/>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30:H36"/>
    <mergeCell ref="I30:I36"/>
    <mergeCell ref="J30:J36"/>
    <mergeCell ref="K30:K36"/>
    <mergeCell ref="L30:L36"/>
    <mergeCell ref="M30:M36"/>
    <mergeCell ref="AF30:AF36"/>
    <mergeCell ref="AG30:AG36"/>
    <mergeCell ref="AH30:AH36"/>
    <mergeCell ref="AI30:AI36"/>
    <mergeCell ref="AJ30:AJ36"/>
    <mergeCell ref="AK30:AK36"/>
    <mergeCell ref="N31:N35"/>
    <mergeCell ref="O31:O35"/>
    <mergeCell ref="P31:P35"/>
    <mergeCell ref="Q31:Q35"/>
    <mergeCell ref="R31:R35"/>
    <mergeCell ref="S31:S35"/>
    <mergeCell ref="T31:T35"/>
    <mergeCell ref="U31:U35"/>
    <mergeCell ref="V31:V35"/>
    <mergeCell ref="W31:W35"/>
    <mergeCell ref="X31:X35"/>
    <mergeCell ref="Y31:Y35"/>
    <mergeCell ref="G30:G36"/>
    <mergeCell ref="H37:H41"/>
    <mergeCell ref="I37:I41"/>
    <mergeCell ref="J37:J41"/>
    <mergeCell ref="K37:K41"/>
    <mergeCell ref="L37:L41"/>
    <mergeCell ref="M37:M41"/>
    <mergeCell ref="AF37:AF41"/>
    <mergeCell ref="AG37:AG41"/>
    <mergeCell ref="AH37:AH41"/>
    <mergeCell ref="AI37:AI41"/>
    <mergeCell ref="AJ37:AJ41"/>
    <mergeCell ref="AK37:AK41"/>
    <mergeCell ref="N38:N40"/>
    <mergeCell ref="O38:O40"/>
    <mergeCell ref="P38:P40"/>
    <mergeCell ref="Q38:Q40"/>
    <mergeCell ref="R38:R40"/>
    <mergeCell ref="S38:S40"/>
    <mergeCell ref="T38:T40"/>
    <mergeCell ref="U38:U40"/>
    <mergeCell ref="V38:V40"/>
    <mergeCell ref="W38:W40"/>
    <mergeCell ref="X38:X40"/>
    <mergeCell ref="Y38:Y40"/>
    <mergeCell ref="G37:G41"/>
    <mergeCell ref="H42:H49"/>
    <mergeCell ref="I42:I49"/>
    <mergeCell ref="J42:J49"/>
    <mergeCell ref="K42:K49"/>
    <mergeCell ref="L42:L49"/>
    <mergeCell ref="M42:M49"/>
    <mergeCell ref="AF42:AF49"/>
    <mergeCell ref="AG42:AG49"/>
    <mergeCell ref="AH42:AH49"/>
    <mergeCell ref="AI42:AI49"/>
    <mergeCell ref="AJ42:AJ49"/>
    <mergeCell ref="AK42:AK49"/>
    <mergeCell ref="N43:N48"/>
    <mergeCell ref="O43:O48"/>
    <mergeCell ref="P43:P48"/>
    <mergeCell ref="Q43:Q48"/>
    <mergeCell ref="R43:R48"/>
    <mergeCell ref="S43:S48"/>
    <mergeCell ref="T43:T48"/>
    <mergeCell ref="U43:U48"/>
    <mergeCell ref="V43:V48"/>
    <mergeCell ref="W43:W48"/>
    <mergeCell ref="X43:X48"/>
    <mergeCell ref="Y43:Y48"/>
    <mergeCell ref="G42:G49"/>
    <mergeCell ref="H50:H57"/>
    <mergeCell ref="I50:I57"/>
    <mergeCell ref="J50:J57"/>
    <mergeCell ref="K50:K57"/>
    <mergeCell ref="L50:L57"/>
    <mergeCell ref="M50:M57"/>
    <mergeCell ref="AF50:AF57"/>
    <mergeCell ref="AG50:AG57"/>
    <mergeCell ref="AH50:AH57"/>
    <mergeCell ref="AI50:AI57"/>
    <mergeCell ref="AJ50:AJ57"/>
    <mergeCell ref="AK50:AK57"/>
    <mergeCell ref="N51:N56"/>
    <mergeCell ref="O51:O56"/>
    <mergeCell ref="P51:P56"/>
    <mergeCell ref="Q51:Q56"/>
    <mergeCell ref="R51:R56"/>
    <mergeCell ref="S51:S56"/>
    <mergeCell ref="T51:T56"/>
    <mergeCell ref="U51:U56"/>
    <mergeCell ref="V51:V56"/>
    <mergeCell ref="W51:W56"/>
    <mergeCell ref="X51:X56"/>
    <mergeCell ref="Y51:Y56"/>
    <mergeCell ref="G50:G57"/>
    <mergeCell ref="H58:H62"/>
    <mergeCell ref="I58:I62"/>
    <mergeCell ref="J58:J62"/>
    <mergeCell ref="K58:K62"/>
    <mergeCell ref="L58:L62"/>
    <mergeCell ref="M58:M62"/>
    <mergeCell ref="AF58:AF62"/>
    <mergeCell ref="AG58:AG62"/>
    <mergeCell ref="AH58:AH62"/>
    <mergeCell ref="AI58:AI62"/>
    <mergeCell ref="AJ58:AJ62"/>
    <mergeCell ref="AK58:AK62"/>
    <mergeCell ref="N59:N61"/>
    <mergeCell ref="O59:O61"/>
    <mergeCell ref="P59:P61"/>
    <mergeCell ref="Q59:Q61"/>
    <mergeCell ref="R59:R61"/>
    <mergeCell ref="S59:S61"/>
    <mergeCell ref="T59:T61"/>
    <mergeCell ref="U59:U61"/>
    <mergeCell ref="V59:V61"/>
    <mergeCell ref="W59:W61"/>
    <mergeCell ref="X59:X61"/>
    <mergeCell ref="Y59:Y61"/>
    <mergeCell ref="G58:G62"/>
    <mergeCell ref="H63:H67"/>
    <mergeCell ref="I63:I67"/>
    <mergeCell ref="J63:J67"/>
    <mergeCell ref="K63:K67"/>
    <mergeCell ref="L63:L67"/>
    <mergeCell ref="M63:M67"/>
    <mergeCell ref="AF63:AF67"/>
    <mergeCell ref="AG63:AG67"/>
    <mergeCell ref="AH63:AH67"/>
    <mergeCell ref="AI63:AI67"/>
    <mergeCell ref="AJ63:AJ67"/>
    <mergeCell ref="AK63:AK67"/>
    <mergeCell ref="N64:N66"/>
    <mergeCell ref="O64:O66"/>
    <mergeCell ref="P64:P66"/>
    <mergeCell ref="Q64:Q66"/>
    <mergeCell ref="R64:R66"/>
    <mergeCell ref="S64:S66"/>
    <mergeCell ref="T64:T66"/>
    <mergeCell ref="U64:U66"/>
    <mergeCell ref="V64:V66"/>
    <mergeCell ref="W64:W66"/>
    <mergeCell ref="X64:X66"/>
    <mergeCell ref="Y64:Y66"/>
    <mergeCell ref="G63:G67"/>
    <mergeCell ref="H68:H72"/>
    <mergeCell ref="I68:I72"/>
    <mergeCell ref="J68:J72"/>
    <mergeCell ref="K68:K72"/>
    <mergeCell ref="L68:L72"/>
    <mergeCell ref="M68:M72"/>
    <mergeCell ref="AF68:AF72"/>
    <mergeCell ref="AG68:AG72"/>
    <mergeCell ref="AH68:AH72"/>
    <mergeCell ref="AI68:AI72"/>
    <mergeCell ref="AJ68:AJ72"/>
    <mergeCell ref="AK68:AK72"/>
    <mergeCell ref="N69:N71"/>
    <mergeCell ref="O69:O71"/>
    <mergeCell ref="P69:P71"/>
    <mergeCell ref="Q69:Q71"/>
    <mergeCell ref="R69:R71"/>
    <mergeCell ref="S69:S71"/>
    <mergeCell ref="T69:T71"/>
    <mergeCell ref="U69:U71"/>
    <mergeCell ref="V69:V71"/>
    <mergeCell ref="W69:W71"/>
    <mergeCell ref="X69:X71"/>
    <mergeCell ref="Y69:Y71"/>
    <mergeCell ref="G68:G72"/>
    <mergeCell ref="H73:H77"/>
    <mergeCell ref="I73:I77"/>
    <mergeCell ref="J73:J77"/>
    <mergeCell ref="K73:K77"/>
    <mergeCell ref="L73:L77"/>
    <mergeCell ref="M73:M77"/>
    <mergeCell ref="AF73:AF77"/>
    <mergeCell ref="AG73:AG77"/>
    <mergeCell ref="AH73:AH77"/>
    <mergeCell ref="AI73:AI77"/>
    <mergeCell ref="AJ73:AJ77"/>
    <mergeCell ref="AK73:AK77"/>
    <mergeCell ref="N74:N76"/>
    <mergeCell ref="O74:O76"/>
    <mergeCell ref="P74:P76"/>
    <mergeCell ref="Q74:Q76"/>
    <mergeCell ref="R74:R76"/>
    <mergeCell ref="S74:S76"/>
    <mergeCell ref="T74:T76"/>
    <mergeCell ref="U74:U76"/>
    <mergeCell ref="V74:V76"/>
    <mergeCell ref="W74:W76"/>
    <mergeCell ref="X74:X76"/>
    <mergeCell ref="Y74:Y76"/>
    <mergeCell ref="G73:G77"/>
    <mergeCell ref="H78:H82"/>
    <mergeCell ref="I78:I82"/>
    <mergeCell ref="J78:J82"/>
    <mergeCell ref="K78:K82"/>
    <mergeCell ref="L78:L82"/>
    <mergeCell ref="M78:M82"/>
    <mergeCell ref="AF78:AF82"/>
    <mergeCell ref="AG78:AG82"/>
    <mergeCell ref="AH78:AH82"/>
    <mergeCell ref="AI78:AI82"/>
    <mergeCell ref="AJ78:AJ82"/>
    <mergeCell ref="AK78:AK82"/>
    <mergeCell ref="N79:N81"/>
    <mergeCell ref="O79:O81"/>
    <mergeCell ref="P79:P81"/>
    <mergeCell ref="Q79:Q81"/>
    <mergeCell ref="R79:R81"/>
    <mergeCell ref="S79:S81"/>
    <mergeCell ref="T79:T81"/>
    <mergeCell ref="U79:U81"/>
    <mergeCell ref="V79:V81"/>
    <mergeCell ref="W79:W81"/>
    <mergeCell ref="X79:X81"/>
    <mergeCell ref="Y79:Y81"/>
    <mergeCell ref="G78:G82"/>
  </mergeCells>
  <dataValidations count="1334">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textLength" operator="lessThanOrEqual" allowBlank="1" showInputMessage="1" showErrorMessage="1" errorTitle="Ошибка" error="Допускается ввод не более 900 символов!" sqref="M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textLength" operator="lessThanOrEqual" allowBlank="1" showInputMessage="1" showErrorMessage="1" errorTitle="Ошибка" error="Допускается ввод не более 900 символов!" sqref="M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textLength" operator="lessThanOrEqual" allowBlank="1" showInputMessage="1" showErrorMessage="1" errorTitle="Ошибка" error="Допускается ввод не более 900 символов!" sqref="M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textLength" operator="lessThanOrEqual" allowBlank="1" showInputMessage="1" showErrorMessage="1" errorTitle="Ошибка" error="Допускается ввод не более 900 символов!" sqref="M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textLength" operator="lessThanOrEqual" allowBlank="1" showInputMessage="1" showErrorMessage="1" errorTitle="Ошибка" error="Допускается ввод не более 900 символов!" sqref="M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textLength" operator="lessThanOrEqual" allowBlank="1" showInputMessage="1" showErrorMessage="1" errorTitle="Ошибка" error="Допускается ввод не более 900 символов!" sqref="M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textLength" operator="lessThanOrEqual" allowBlank="1" showInputMessage="1" showErrorMessage="1" errorTitle="Ошибка" error="Допускается ввод не более 900 символов!" sqref="M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textLength" operator="lessThanOrEqual" allowBlank="1" showInputMessage="1" showErrorMessage="1" errorTitle="Ошибка" error="Допускается ввод не более 900 символов!" sqref="M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textLength" operator="lessThanOrEqual" allowBlank="1" showInputMessage="1" showErrorMessage="1" errorTitle="Ошибка" error="Допускается ввод не более 900 символов!" sqref="M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textLength" operator="lessThanOrEqual" allowBlank="1" showInputMessage="1" showErrorMessage="1" errorTitle="Ошибка" error="Допускается ввод не более 900 символов!" sqref="M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textLength" operator="lessThanOrEqual" allowBlank="1" showInputMessage="1" showErrorMessage="1" errorTitle="Ошибка" error="Допускается ввод не более 900 символов!" sqref="M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textLength" operator="lessThanOrEqual" allowBlank="1" showInputMessage="1" showErrorMessage="1" errorTitle="Ошибка" error="Допускается ввод не более 900 символов!" sqref="M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textLength" operator="lessThanOrEqual" allowBlank="1" showInputMessage="1" showErrorMessage="1" errorTitle="Ошибка" error="Допускается ввод не более 900 символов!" sqref="M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textLength" operator="lessThanOrEqual" allowBlank="1" showInputMessage="1" showErrorMessage="1" errorTitle="Ошибка" error="Допускается ввод не более 900 символов!" sqref="M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decimal" allowBlank="1" showErrorMessage="1" errorTitle="Ошибка" error="Допускается ввод только неотрицательных чисел!" sqref="AC248">
      <formula1>0</formula1>
      <formula2>9.99999999999999E+23</formula2>
    </dataValidation>
    <dataValidation type="decimal" allowBlank="1" showErrorMessage="1" errorTitle="Ошибка" error="Допускается ввод только неотрицательных чисел!" sqref="AE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textLength" operator="lessThanOrEqual" allowBlank="1" showInputMessage="1" showErrorMessage="1" errorTitle="Ошибка" error="Допускается ввод не более 900 символов!" sqref="M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decimal" allowBlank="1" showErrorMessage="1" errorTitle="Ошибка" error="Допускается ввод только неотрицательных чисел!" sqref="AC39">
      <formula1>0</formula1>
      <formula2>9.99999999999999E+23</formula2>
    </dataValidation>
    <dataValidation type="decimal" allowBlank="1" showErrorMessage="1" errorTitle="Ошибка" error="Допускается ввод только неотрицательных чисел!" sqref="AE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textLength" operator="lessThanOrEqual" allowBlank="1" showInputMessage="1" showErrorMessage="1" errorTitle="Ошибка" error="Допускается ввод не более 900 символов!" sqref="M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decimal" allowBlank="1" showErrorMessage="1" errorTitle="Ошибка" error="Допускается ввод только неотрицательных чисел!" sqref="AC45">
      <formula1>0</formula1>
      <formula2>9.99999999999999E+23</formula2>
    </dataValidation>
    <dataValidation type="decimal" allowBlank="1" showErrorMessage="1" errorTitle="Ошибка" error="Допускается ввод только неотрицательных чисел!" sqref="AE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decimal" allowBlank="1" showErrorMessage="1" errorTitle="Ошибка" error="Допускается ввод только неотрицательных чисел!" sqref="AC80">
      <formula1>0</formula1>
      <formula2>9.99999999999999E+23</formula2>
    </dataValidation>
    <dataValidation type="decimal" allowBlank="1" showErrorMessage="1" errorTitle="Ошибка" error="Допускается ввод только неотрицательных чисел!" sqref="AE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469E71-31D4-4074-D4D4-0A2CB8EBD35C}" mc:Ignorable="x14ac xr xr2 xr3">
  <sheetPr>
    <tabColor theme="9" tint="-0.25"/>
  </sheetPr>
  <dimension ref="A1:BJ59"/>
  <sheetViews>
    <sheetView showGridLines="0" zoomScale="85" workbookViewId="0">
      <pane xSplit="9" ySplit="13" topLeftCell="J14" activePane="bottomRight" state="frozen"/>
      <selection pane="bottomLeft" activeCell="A14" sqref="A14"/>
      <selection pane="topRight" activeCell="J1" sqref="J1"/>
      <selection pane="bottomRight" activeCell="AV1" sqref="AV1:AV1048576"/>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6.00390625" customWidth="1"/>
    <col min="7" max="7" style="1639" width="60.00390625" customWidth="1"/>
    <col min="8" max="9" style="1639" width="21.7109375" hidden="1" customWidth="1"/>
    <col min="10" max="10" style="1639" width="0.140625" customWidth="1"/>
    <col min="11" max="36" style="1639" width="21.7109375" hidden="1" customWidth="1"/>
    <col min="37" max="37" style="1639" width="0.140625" customWidth="1"/>
    <col min="38" max="48" style="1639" width="21.7109375" hidden="1" customWidth="1"/>
    <col min="49" max="49" style="1639" width="0.140625" customWidth="1"/>
    <col min="50" max="50" style="1639" width="1.00390625" customWidth="1"/>
    <col min="51" max="61" style="1639" width="8.00390625" customWidth="1"/>
    <col min="62" max="62" style="1639" width="9.140625" hidden="1"/>
  </cols>
  <sheetData>
    <row s="1370" customFormat="1" customHeight="1" ht="10.5" hidden="1">
      <c r="A1" s="1170"/>
      <c r="B1" s="1170"/>
      <c r="C1" s="1170"/>
      <c r="E1" s="541"/>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1370"/>
      <c r="AT1" s="1370"/>
      <c r="AU1" s="1370"/>
      <c r="AV1" s="1370"/>
      <c r="AW1" s="1370"/>
      <c r="BJ1" s="1164" t="s">
        <v>14</v>
      </c>
    </row>
    <row customHeight="1" ht="10.5" hidden="1">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BJ2" s="1159">
        <v>0</v>
      </c>
    </row>
    <row s="1636" customFormat="1" customHeight="1" ht="10.5" hidden="1">
      <c r="A3" s="1170"/>
      <c r="B3" s="1170"/>
      <c r="C3" s="1170"/>
      <c r="D3" s="1164"/>
      <c r="E3" s="366"/>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6"/>
      <c r="AQ3" s="1636"/>
      <c r="AR3" s="1636"/>
      <c r="AS3" s="1636"/>
      <c r="AT3" s="1636"/>
      <c r="AU3" s="1636"/>
      <c r="AV3" s="1636"/>
      <c r="AW3" s="1636"/>
      <c r="BJ3" s="1160">
        <v>0</v>
      </c>
    </row>
    <row customHeight="1" ht="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BJ4" s="1159">
        <v>3</v>
      </c>
    </row>
    <row customHeight="1" ht="27.299999999999997">
      <c r="F5" s="225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2"/>
      <c r="H5" s="2252"/>
      <c r="I5" s="2252"/>
      <c r="J5" s="2252"/>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BJ5" s="1159">
        <v>26</v>
      </c>
    </row>
    <row customHeight="1" ht="10.5">
      <c r="F6" s="2180" t="str">
        <f>IF(org=0,"Не определено",org)</f>
        <v>АО "Теплоэнерго"</v>
      </c>
      <c r="G6" s="2180"/>
      <c r="H6" s="2180"/>
      <c r="I6" s="2180"/>
      <c r="J6" s="2180"/>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BJ6" s="1159">
        <v>10</v>
      </c>
    </row>
    <row customHeight="1" ht="11.549999999999999">
      <c r="E7" s="1174"/>
      <c r="F7" s="1231"/>
      <c r="G7" s="1231"/>
      <c r="H7" s="1231"/>
      <c r="I7" s="1231"/>
      <c r="J7" s="1231"/>
      <c r="K7" s="1231" t="s">
        <v>22</v>
      </c>
      <c r="L7" s="1231"/>
      <c r="M7" s="1231" t="s">
        <v>22</v>
      </c>
      <c r="N7" s="1231" t="s">
        <v>22</v>
      </c>
      <c r="O7" s="1231" t="s">
        <v>22</v>
      </c>
      <c r="P7" s="1231" t="s">
        <v>22</v>
      </c>
      <c r="Q7" s="1231" t="s">
        <v>22</v>
      </c>
      <c r="R7" s="1231" t="s">
        <v>22</v>
      </c>
      <c r="S7" s="1231" t="s">
        <v>22</v>
      </c>
      <c r="T7" s="1231" t="s">
        <v>22</v>
      </c>
      <c r="U7" s="1231" t="s">
        <v>22</v>
      </c>
      <c r="V7" s="1231" t="s">
        <v>22</v>
      </c>
      <c r="W7" s="1231" t="s">
        <v>22</v>
      </c>
      <c r="X7" s="1231" t="s">
        <v>22</v>
      </c>
      <c r="Y7" s="1231" t="s">
        <v>22</v>
      </c>
      <c r="Z7" s="1231" t="s">
        <v>22</v>
      </c>
      <c r="AA7" s="1231" t="s">
        <v>22</v>
      </c>
      <c r="AB7" s="1231" t="s">
        <v>22</v>
      </c>
      <c r="AC7" s="1231" t="s">
        <v>22</v>
      </c>
      <c r="AD7" s="1231" t="s">
        <v>22</v>
      </c>
      <c r="AE7" s="1231" t="s">
        <v>22</v>
      </c>
      <c r="AF7" s="1231" t="s">
        <v>22</v>
      </c>
      <c r="AG7" s="1231" t="s">
        <v>22</v>
      </c>
      <c r="AH7" s="1231" t="s">
        <v>22</v>
      </c>
      <c r="AI7" s="1231" t="s">
        <v>22</v>
      </c>
      <c r="AJ7" s="1231" t="s">
        <v>22</v>
      </c>
      <c r="AK7" s="1231"/>
      <c r="AL7" s="1231" t="s">
        <v>22</v>
      </c>
      <c r="AM7" s="1231"/>
      <c r="AN7" s="1231" t="s">
        <v>22</v>
      </c>
      <c r="AO7" s="1231" t="s">
        <v>22</v>
      </c>
      <c r="AP7" s="1231" t="s">
        <v>22</v>
      </c>
      <c r="AQ7" s="1231" t="s">
        <v>22</v>
      </c>
      <c r="AR7" s="1231" t="s">
        <v>22</v>
      </c>
      <c r="AS7" s="1231" t="s">
        <v>22</v>
      </c>
      <c r="AT7" s="1231" t="s">
        <v>22</v>
      </c>
      <c r="AU7" s="1231" t="s">
        <v>22</v>
      </c>
      <c r="AV7" s="1231" t="s">
        <v>22</v>
      </c>
      <c r="AW7" s="1231"/>
      <c r="AX7" s="1161"/>
      <c r="AY7" s="1161"/>
      <c r="AZ7" s="1161"/>
      <c r="BA7" s="1161"/>
      <c r="BB7" s="1161"/>
      <c r="BC7" s="1161"/>
      <c r="BD7" s="1161"/>
      <c r="BE7" s="1161"/>
      <c r="BF7" s="1161"/>
      <c r="BG7" s="1161"/>
      <c r="BH7" s="1161"/>
      <c r="BI7" s="1161"/>
      <c r="BJ7" s="1159">
        <v>11</v>
      </c>
    </row>
    <row s="1646" customFormat="1" customHeight="1" ht="4.2">
      <c r="A8" s="1171"/>
      <c r="B8" s="1171"/>
      <c r="C8" s="1171"/>
      <c r="E8" s="1232"/>
      <c r="F8" s="1233"/>
      <c r="G8" s="1233"/>
      <c r="H8" s="1233"/>
      <c r="I8" s="1233"/>
      <c r="J8" s="1233"/>
      <c r="K8" s="1233" t="s">
        <v>1261</v>
      </c>
      <c r="L8" s="1233"/>
      <c r="M8" s="1233"/>
      <c r="N8" s="1233"/>
      <c r="O8" s="1233"/>
      <c r="P8" s="1233"/>
      <c r="Q8" s="1233"/>
      <c r="R8" s="1233"/>
      <c r="S8" s="1233"/>
      <c r="T8" s="1233"/>
      <c r="U8" s="1233"/>
      <c r="V8" s="1233"/>
      <c r="W8" s="1233"/>
      <c r="X8" s="1233"/>
      <c r="Y8" s="1233"/>
      <c r="Z8" s="1233"/>
      <c r="AA8" s="1233"/>
      <c r="AB8" s="1233"/>
      <c r="AC8" s="1233"/>
      <c r="AD8" s="1233"/>
      <c r="AE8" s="1233"/>
      <c r="AF8" s="1233"/>
      <c r="AG8" s="1233"/>
      <c r="AH8" s="1233"/>
      <c r="AI8" s="1233"/>
      <c r="AJ8" s="1233"/>
      <c r="AK8" s="1233"/>
      <c r="AL8" s="1233" t="s">
        <v>1270</v>
      </c>
      <c r="AM8" s="1233"/>
      <c r="AN8" s="1233"/>
      <c r="AO8" s="1233"/>
      <c r="AP8" s="1233"/>
      <c r="AQ8" s="1233"/>
      <c r="AR8" s="1233"/>
      <c r="AS8" s="1233"/>
      <c r="AT8" s="1233"/>
      <c r="AU8" s="1233"/>
      <c r="AV8" s="1233"/>
      <c r="AW8" s="1233"/>
      <c r="AX8" s="1232"/>
      <c r="AY8" s="1232"/>
      <c r="AZ8" s="1232"/>
      <c r="BA8" s="1232"/>
      <c r="BB8" s="1232"/>
      <c r="BC8" s="1232"/>
      <c r="BD8" s="1232"/>
      <c r="BE8" s="1232"/>
      <c r="BF8" s="1232"/>
      <c r="BG8" s="1232"/>
      <c r="BH8" s="1232"/>
      <c r="BI8" s="1232"/>
      <c r="BJ8" s="515">
        <v>4</v>
      </c>
    </row>
    <row customHeight="1" ht="10.5">
      <c r="E9" s="1174"/>
      <c r="F9" s="2423" t="s">
        <v>318</v>
      </c>
      <c r="G9" s="2424"/>
      <c r="H9" s="2424"/>
      <c r="I9" s="2424"/>
      <c r="J9" s="2424"/>
      <c r="K9" s="2424"/>
      <c r="L9" s="2424"/>
      <c r="M9" s="2424"/>
      <c r="N9" s="2424"/>
      <c r="O9" s="2424"/>
      <c r="P9" s="2424"/>
      <c r="Q9" s="2424"/>
      <c r="R9" s="2424"/>
      <c r="S9" s="2424"/>
      <c r="T9" s="2424"/>
      <c r="U9" s="2424"/>
      <c r="V9" s="2424"/>
      <c r="W9" s="2424"/>
      <c r="X9" s="2424"/>
      <c r="Y9" s="2424"/>
      <c r="Z9" s="2424"/>
      <c r="AA9" s="2424"/>
      <c r="AB9" s="2424"/>
      <c r="AC9" s="2424"/>
      <c r="AD9" s="2424"/>
      <c r="AE9" s="2424"/>
      <c r="AF9" s="2424"/>
      <c r="AG9" s="2424"/>
      <c r="AH9" s="2424"/>
      <c r="AI9" s="2424"/>
      <c r="AJ9" s="2424"/>
      <c r="AK9" s="2424"/>
      <c r="AL9" s="2424"/>
      <c r="AM9" s="2424"/>
      <c r="AN9" s="2424"/>
      <c r="AO9" s="2424"/>
      <c r="AP9" s="2424"/>
      <c r="AQ9" s="2424"/>
      <c r="AR9" s="2424"/>
      <c r="AS9" s="2424"/>
      <c r="AT9" s="2424"/>
      <c r="AU9" s="2424"/>
      <c r="AV9" s="2424"/>
      <c r="AW9" s="2424"/>
      <c r="AX9" s="1244"/>
      <c r="AY9" s="1161"/>
      <c r="AZ9" s="1161"/>
      <c r="BA9" s="1161"/>
      <c r="BB9" s="1161"/>
      <c r="BC9" s="1161"/>
      <c r="BD9" s="1161"/>
      <c r="BE9" s="1161"/>
      <c r="BF9" s="1161"/>
      <c r="BG9" s="1161"/>
      <c r="BH9" s="1161"/>
      <c r="BI9" s="1161"/>
      <c r="BJ9" s="1159">
        <v>10</v>
      </c>
    </row>
    <row customHeight="1" ht="25.2">
      <c r="E10" s="1161"/>
      <c r="F10" s="2427" t="s">
        <v>88</v>
      </c>
      <c r="G10" s="2432" t="s">
        <v>1329</v>
      </c>
      <c r="H10" s="2430" t="s">
        <v>1330</v>
      </c>
      <c r="I10" s="2430"/>
      <c r="J10" s="2430"/>
      <c r="K10" s="2430" t="s">
        <v>1330</v>
      </c>
      <c r="L10" s="2430"/>
      <c r="M10" s="2430"/>
      <c r="N10" s="2430"/>
      <c r="O10" s="2430"/>
      <c r="P10" s="2430"/>
      <c r="Q10" s="2430"/>
      <c r="R10" s="2430"/>
      <c r="S10" s="2430"/>
      <c r="T10" s="2430"/>
      <c r="U10" s="2430"/>
      <c r="V10" s="2430"/>
      <c r="W10" s="2430"/>
      <c r="X10" s="2430"/>
      <c r="Y10" s="2430"/>
      <c r="Z10" s="2430"/>
      <c r="AA10" s="2430"/>
      <c r="AB10" s="2430"/>
      <c r="AC10" s="2430"/>
      <c r="AD10" s="2430"/>
      <c r="AE10" s="2430"/>
      <c r="AF10" s="2430"/>
      <c r="AG10" s="2430"/>
      <c r="AH10" s="2430"/>
      <c r="AI10" s="2430"/>
      <c r="AJ10" s="2430"/>
      <c r="AK10" s="2430"/>
      <c r="AL10" s="2430" t="s">
        <v>1330</v>
      </c>
      <c r="AM10" s="2430"/>
      <c r="AN10" s="2430"/>
      <c r="AO10" s="2430"/>
      <c r="AP10" s="2430"/>
      <c r="AQ10" s="2430"/>
      <c r="AR10" s="2430"/>
      <c r="AS10" s="2430"/>
      <c r="AT10" s="2430"/>
      <c r="AU10" s="2430"/>
      <c r="AV10" s="2430"/>
      <c r="AW10" s="2430"/>
      <c r="AX10" s="1237"/>
      <c r="AY10" s="1161"/>
      <c r="AZ10" s="1161"/>
      <c r="BA10" s="1161"/>
      <c r="BB10" s="1161"/>
      <c r="BC10" s="1161"/>
      <c r="BD10" s="1161"/>
      <c r="BE10" s="1161"/>
      <c r="BF10" s="1161"/>
      <c r="BG10" s="1161"/>
      <c r="BH10" s="1161"/>
      <c r="BI10" s="1161"/>
      <c r="BJ10" s="1159">
        <v>24</v>
      </c>
    </row>
    <row customHeight="1" ht="25.5">
      <c r="E11" s="1161"/>
      <c r="F11" s="2428"/>
      <c r="G11" s="2432"/>
      <c r="H11" s="2431">
        <f>INDEX(IP_MAIN_LIST_NAME_IP,MATCH(H8,IP_MAIN_LIST_IP_ID,0))&amp;" ("&amp;INDEX(IP_MAIN_START_DATE,MATCH(H8,IP_MAIN_LIST_IP_ID,0))&amp;"-"&amp;INDEX(IP_MAIN_END_DATE,MATCH(H8,IP_MAIN_LIST_IP_ID,0))&amp;")"</f>
      </c>
      <c r="I11" s="2431"/>
      <c r="J11" s="2431"/>
      <c r="K11" s="2431" t="str">
        <f>INDEX(IP_MAIN_LIST_NAME_IP,MATCH(K8,IP_MAIN_LIST_IP_ID,0))&amp;" ("&amp;INDEX(IP_MAIN_START_DATE,MATCH(K8,IP_MAIN_LIST_IP_ID,0))&amp;"-"&amp;INDEX(IP_MAIN_END_DATE,MATCH(K8,IP_MAIN_LIST_IP_ID,0))&amp;")"</f>
        <v>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 (01.01.2023-31.12.2047)</v>
      </c>
      <c r="L11" s="2431"/>
      <c r="M11" s="2431"/>
      <c r="N11" s="2431"/>
      <c r="O11" s="2431"/>
      <c r="P11" s="2431"/>
      <c r="Q11" s="2431"/>
      <c r="R11" s="2431"/>
      <c r="S11" s="2431"/>
      <c r="T11" s="2431"/>
      <c r="U11" s="2431"/>
      <c r="V11" s="2431"/>
      <c r="W11" s="2431"/>
      <c r="X11" s="2431"/>
      <c r="Y11" s="2431"/>
      <c r="Z11" s="2431"/>
      <c r="AA11" s="2431"/>
      <c r="AB11" s="2431"/>
      <c r="AC11" s="2431"/>
      <c r="AD11" s="2431"/>
      <c r="AE11" s="2431"/>
      <c r="AF11" s="2431"/>
      <c r="AG11" s="2431"/>
      <c r="AH11" s="2431"/>
      <c r="AI11" s="2431"/>
      <c r="AJ11" s="2431"/>
      <c r="AK11" s="2431"/>
      <c r="AL11" s="2431" t="str">
        <f>INDEX(IP_MAIN_LIST_NAME_IP,MATCH(AL8,IP_MAIN_LIST_IP_ID,0))&amp;" ("&amp;INDEX(IP_MAIN_START_DATE,MATCH(AL8,IP_MAIN_LIST_IP_ID,0))&amp;"-"&amp;INDEX(IP_MAIN_END_DATE,MATCH(AL8,IP_MAIN_LIST_IP_ID,0))&amp;")"</f>
        <v>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 (28.05.2021-31.12.2030)</v>
      </c>
      <c r="AM11" s="2431"/>
      <c r="AN11" s="2431"/>
      <c r="AO11" s="2431"/>
      <c r="AP11" s="2431"/>
      <c r="AQ11" s="2431"/>
      <c r="AR11" s="2431"/>
      <c r="AS11" s="2431"/>
      <c r="AT11" s="2431"/>
      <c r="AU11" s="2431"/>
      <c r="AV11" s="2431"/>
      <c r="AW11" s="2431"/>
      <c r="AX11" s="1237"/>
      <c r="AY11" s="1161"/>
      <c r="AZ11" s="1161"/>
      <c r="BA11" s="1161"/>
      <c r="BB11" s="1161"/>
      <c r="BC11" s="1161"/>
      <c r="BD11" s="1161"/>
      <c r="BE11" s="1161"/>
      <c r="BF11" s="1161"/>
      <c r="BG11" s="1161"/>
      <c r="BH11" s="1161"/>
      <c r="BI11" s="1161"/>
      <c r="BJ11" s="1159">
        <v>24</v>
      </c>
    </row>
    <row customHeight="1" ht="10.5">
      <c r="F12" s="2429"/>
      <c r="G12" s="2432"/>
      <c r="H12" s="1230" t="s">
        <v>1331</v>
      </c>
      <c r="I12" s="1236"/>
      <c r="J12" s="1230"/>
      <c r="K12" s="2432" t="s">
        <v>1331</v>
      </c>
      <c r="L12" s="1236">
        <v>2023</v>
      </c>
      <c r="M12" s="1236">
        <v>2024</v>
      </c>
      <c r="N12" s="1236">
        <v>2025</v>
      </c>
      <c r="O12" s="1236">
        <v>2026</v>
      </c>
      <c r="P12" s="1236">
        <v>2027</v>
      </c>
      <c r="Q12" s="1236">
        <v>2028</v>
      </c>
      <c r="R12" s="1236">
        <v>2029</v>
      </c>
      <c r="S12" s="1236">
        <v>2030</v>
      </c>
      <c r="T12" s="1236">
        <v>2031</v>
      </c>
      <c r="U12" s="1236">
        <v>2032</v>
      </c>
      <c r="V12" s="1236">
        <v>2033</v>
      </c>
      <c r="W12" s="1236">
        <v>2034</v>
      </c>
      <c r="X12" s="1236">
        <v>2035</v>
      </c>
      <c r="Y12" s="1236">
        <v>2036</v>
      </c>
      <c r="Z12" s="1236">
        <v>2037</v>
      </c>
      <c r="AA12" s="1236">
        <v>2038</v>
      </c>
      <c r="AB12" s="1236">
        <v>2039</v>
      </c>
      <c r="AC12" s="1236">
        <v>2040</v>
      </c>
      <c r="AD12" s="1236">
        <v>2041</v>
      </c>
      <c r="AE12" s="1236">
        <v>2042</v>
      </c>
      <c r="AF12" s="1236">
        <v>2043</v>
      </c>
      <c r="AG12" s="1236">
        <v>2044</v>
      </c>
      <c r="AH12" s="1236">
        <v>2045</v>
      </c>
      <c r="AI12" s="1236">
        <v>2046</v>
      </c>
      <c r="AJ12" s="1236">
        <v>2047</v>
      </c>
      <c r="AK12" s="2432"/>
      <c r="AL12" s="2432" t="s">
        <v>1331</v>
      </c>
      <c r="AM12" s="1236">
        <v>2021</v>
      </c>
      <c r="AN12" s="1236">
        <v>2022</v>
      </c>
      <c r="AO12" s="1236">
        <v>2023</v>
      </c>
      <c r="AP12" s="1236">
        <v>2024</v>
      </c>
      <c r="AQ12" s="1236">
        <v>2025</v>
      </c>
      <c r="AR12" s="1236">
        <v>2026</v>
      </c>
      <c r="AS12" s="1236">
        <v>2027</v>
      </c>
      <c r="AT12" s="1236">
        <v>2028</v>
      </c>
      <c r="AU12" s="1236">
        <v>2029</v>
      </c>
      <c r="AV12" s="1236">
        <v>2030</v>
      </c>
      <c r="AW12" s="2432"/>
      <c r="AX12" s="1238"/>
      <c r="BJ12" s="1159">
        <v>10</v>
      </c>
    </row>
    <row customHeight="1" ht="10.5" hidden="1">
      <c r="F13" s="1230">
        <v>1</v>
      </c>
      <c r="G13" s="1230">
        <v>2</v>
      </c>
      <c r="H13" s="1230">
        <v>3</v>
      </c>
      <c r="I13" s="1230">
        <v>4</v>
      </c>
      <c r="J13" s="1230">
        <v>5</v>
      </c>
      <c r="K13" s="2432">
        <v>3</v>
      </c>
      <c r="L13" s="2432">
        <v>4</v>
      </c>
      <c r="M13" s="2432">
        <v>4</v>
      </c>
      <c r="N13" s="2432">
        <v>4</v>
      </c>
      <c r="O13" s="2432">
        <v>4</v>
      </c>
      <c r="P13" s="2432">
        <v>4</v>
      </c>
      <c r="Q13" s="2432">
        <v>4</v>
      </c>
      <c r="R13" s="2432">
        <v>4</v>
      </c>
      <c r="S13" s="2432">
        <v>4</v>
      </c>
      <c r="T13" s="2432">
        <v>4</v>
      </c>
      <c r="U13" s="2432">
        <v>4</v>
      </c>
      <c r="V13" s="2432">
        <v>4</v>
      </c>
      <c r="W13" s="2432">
        <v>4</v>
      </c>
      <c r="X13" s="2432">
        <v>4</v>
      </c>
      <c r="Y13" s="2432">
        <v>4</v>
      </c>
      <c r="Z13" s="2432">
        <v>4</v>
      </c>
      <c r="AA13" s="2432">
        <v>4</v>
      </c>
      <c r="AB13" s="2432">
        <v>4</v>
      </c>
      <c r="AC13" s="2432">
        <v>4</v>
      </c>
      <c r="AD13" s="2432">
        <v>4</v>
      </c>
      <c r="AE13" s="2432">
        <v>4</v>
      </c>
      <c r="AF13" s="2432">
        <v>4</v>
      </c>
      <c r="AG13" s="2432">
        <v>4</v>
      </c>
      <c r="AH13" s="2432">
        <v>4</v>
      </c>
      <c r="AI13" s="2432">
        <v>4</v>
      </c>
      <c r="AJ13" s="2432">
        <v>4</v>
      </c>
      <c r="AK13" s="2432">
        <v>5</v>
      </c>
      <c r="AL13" s="2432">
        <v>3</v>
      </c>
      <c r="AM13" s="2432">
        <v>4</v>
      </c>
      <c r="AN13" s="2432">
        <v>4</v>
      </c>
      <c r="AO13" s="2432">
        <v>4</v>
      </c>
      <c r="AP13" s="2432">
        <v>4</v>
      </c>
      <c r="AQ13" s="2432">
        <v>4</v>
      </c>
      <c r="AR13" s="2432">
        <v>4</v>
      </c>
      <c r="AS13" s="2432">
        <v>4</v>
      </c>
      <c r="AT13" s="2432">
        <v>4</v>
      </c>
      <c r="AU13" s="2432">
        <v>4</v>
      </c>
      <c r="AV13" s="2432">
        <v>4</v>
      </c>
      <c r="AW13" s="2432">
        <v>5</v>
      </c>
      <c r="AX13" s="1238"/>
      <c r="BJ13" s="1159">
        <v>0</v>
      </c>
    </row>
    <row customHeight="1" ht="11.549999999999999">
      <c r="F14" s="1229" t="s">
        <v>1332</v>
      </c>
      <c r="G14" s="2425" t="s">
        <v>1333</v>
      </c>
      <c r="H14" s="2425"/>
      <c r="I14" s="2425"/>
      <c r="J14" s="2425"/>
      <c r="K14" s="2425"/>
      <c r="L14" s="2425"/>
      <c r="M14" s="2425"/>
      <c r="N14" s="2425"/>
      <c r="O14" s="2425"/>
      <c r="P14" s="2425"/>
      <c r="Q14" s="2425"/>
      <c r="R14" s="2425"/>
      <c r="S14" s="2425"/>
      <c r="T14" s="2425"/>
      <c r="U14" s="2425"/>
      <c r="V14" s="2425"/>
      <c r="W14" s="2425"/>
      <c r="X14" s="2425"/>
      <c r="Y14" s="2425"/>
      <c r="Z14" s="2425"/>
      <c r="AA14" s="2425"/>
      <c r="AB14" s="2425"/>
      <c r="AC14" s="2425"/>
      <c r="AD14" s="2425"/>
      <c r="AE14" s="2425"/>
      <c r="AF14" s="2425"/>
      <c r="AG14" s="2425"/>
      <c r="AH14" s="2425"/>
      <c r="AI14" s="2425"/>
      <c r="AJ14" s="2425"/>
      <c r="AK14" s="2425"/>
      <c r="AL14" s="2425"/>
      <c r="AM14" s="2425"/>
      <c r="AN14" s="2425"/>
      <c r="AO14" s="2425"/>
      <c r="AP14" s="2425"/>
      <c r="AQ14" s="2425"/>
      <c r="AR14" s="2425"/>
      <c r="AS14" s="2425"/>
      <c r="AT14" s="2425"/>
      <c r="AU14" s="2425"/>
      <c r="AV14" s="2425"/>
      <c r="AW14" s="2425"/>
      <c r="AX14" s="1238"/>
      <c r="BJ14" s="1159">
        <v>11</v>
      </c>
    </row>
    <row customHeight="1" ht="11.549999999999999">
      <c r="F15" s="1234">
        <v>1</v>
      </c>
      <c r="G15" s="694" t="s">
        <v>1334</v>
      </c>
      <c r="H15" s="1240">
        <f>SUM(I15:J15)</f>
        <v>0</v>
      </c>
      <c r="I15" s="1240">
        <f>SUM(I16:I27)</f>
        <v>0</v>
      </c>
      <c r="J15" s="1229"/>
      <c r="K15" s="1240">
        <f>SUM(L15:AK15)</f>
        <v>0</v>
      </c>
      <c r="L15" s="1240">
        <f>SUM(L16:L27)</f>
        <v>0</v>
      </c>
      <c r="M15" s="1240">
        <f>SUM(M16:M27)</f>
        <v>0</v>
      </c>
      <c r="N15" s="1240">
        <f>SUM(N16:N27)</f>
        <v>0</v>
      </c>
      <c r="O15" s="1240">
        <f>SUM(O16:O27)</f>
        <v>0</v>
      </c>
      <c r="P15" s="1240">
        <f>SUM(P16:P27)</f>
        <v>0</v>
      </c>
      <c r="Q15" s="1240">
        <f>SUM(Q16:Q27)</f>
        <v>0</v>
      </c>
      <c r="R15" s="1240">
        <f>SUM(R16:R27)</f>
        <v>0</v>
      </c>
      <c r="S15" s="1240">
        <f>SUM(S16:S27)</f>
        <v>0</v>
      </c>
      <c r="T15" s="1240">
        <f>SUM(T16:T27)</f>
        <v>0</v>
      </c>
      <c r="U15" s="1240">
        <f>SUM(U16:U27)</f>
        <v>0</v>
      </c>
      <c r="V15" s="1240">
        <f>SUM(V16:V27)</f>
        <v>0</v>
      </c>
      <c r="W15" s="1240">
        <f>SUM(W16:W27)</f>
        <v>0</v>
      </c>
      <c r="X15" s="1240">
        <f>SUM(X16:X27)</f>
        <v>0</v>
      </c>
      <c r="Y15" s="1240">
        <f>SUM(Y16:Y27)</f>
        <v>0</v>
      </c>
      <c r="Z15" s="1240">
        <f>SUM(Z16:Z27)</f>
        <v>0</v>
      </c>
      <c r="AA15" s="1240">
        <f>SUM(AA16:AA27)</f>
        <v>0</v>
      </c>
      <c r="AB15" s="1240">
        <f>SUM(AB16:AB27)</f>
        <v>0</v>
      </c>
      <c r="AC15" s="1240">
        <f>SUM(AC16:AC27)</f>
        <v>0</v>
      </c>
      <c r="AD15" s="1240">
        <f>SUM(AD16:AD27)</f>
        <v>0</v>
      </c>
      <c r="AE15" s="1240">
        <f>SUM(AE16:AE27)</f>
        <v>0</v>
      </c>
      <c r="AF15" s="1240">
        <f>SUM(AF16:AF27)</f>
        <v>0</v>
      </c>
      <c r="AG15" s="1240">
        <f>SUM(AG16:AG27)</f>
        <v>0</v>
      </c>
      <c r="AH15" s="1240">
        <f>SUM(AH16:AH27)</f>
        <v>0</v>
      </c>
      <c r="AI15" s="1240">
        <f>SUM(AI16:AI27)</f>
        <v>0</v>
      </c>
      <c r="AJ15" s="1240">
        <f>SUM(AJ16:AJ27)</f>
        <v>0</v>
      </c>
      <c r="AK15" s="2430"/>
      <c r="AL15" s="1240">
        <f>SUM(AM15:AW15)</f>
        <v>0</v>
      </c>
      <c r="AM15" s="1240">
        <f>SUM(AM16:AM27)</f>
        <v>0</v>
      </c>
      <c r="AN15" s="1240">
        <f>SUM(AN16:AN27)</f>
        <v>0</v>
      </c>
      <c r="AO15" s="1240">
        <f>SUM(AO16:AO27)</f>
        <v>0</v>
      </c>
      <c r="AP15" s="1240">
        <f>SUM(AP16:AP27)</f>
        <v>0</v>
      </c>
      <c r="AQ15" s="1240">
        <f>SUM(AQ16:AQ27)</f>
        <v>0</v>
      </c>
      <c r="AR15" s="1240">
        <f>SUM(AR16:AR27)</f>
        <v>0</v>
      </c>
      <c r="AS15" s="1240">
        <f>SUM(AS16:AS27)</f>
        <v>0</v>
      </c>
      <c r="AT15" s="1240">
        <f>SUM(AT16:AT27)</f>
        <v>0</v>
      </c>
      <c r="AU15" s="1240">
        <f>SUM(AU16:AU27)</f>
        <v>0</v>
      </c>
      <c r="AV15" s="1240">
        <f>SUM(AV16:AV27)</f>
        <v>0</v>
      </c>
      <c r="AW15" s="2430"/>
      <c r="AX15" s="1238"/>
      <c r="BJ15" s="1159">
        <v>11</v>
      </c>
    </row>
    <row customHeight="1" ht="24">
      <c r="F16" s="1234" t="s">
        <v>1335</v>
      </c>
      <c r="G16" s="1241" t="s">
        <v>1336</v>
      </c>
      <c r="H16" s="1240">
        <f>SUM(I16:J16)</f>
        <v>0</v>
      </c>
      <c r="I16" s="1239"/>
      <c r="J16" s="1229"/>
      <c r="K16" s="1240">
        <f>SUM(L16:AK16)</f>
        <v>0</v>
      </c>
      <c r="L16" s="1239"/>
      <c r="M16" s="1239"/>
      <c r="N16" s="1239"/>
      <c r="O16" s="1239"/>
      <c r="P16" s="1239"/>
      <c r="Q16" s="1239"/>
      <c r="R16" s="1239"/>
      <c r="S16" s="1239"/>
      <c r="T16" s="1239"/>
      <c r="U16" s="1239"/>
      <c r="V16" s="1239"/>
      <c r="W16" s="1239"/>
      <c r="X16" s="1239"/>
      <c r="Y16" s="1239"/>
      <c r="Z16" s="1239"/>
      <c r="AA16" s="1239"/>
      <c r="AB16" s="1239"/>
      <c r="AC16" s="1239"/>
      <c r="AD16" s="1239"/>
      <c r="AE16" s="1239"/>
      <c r="AF16" s="1239"/>
      <c r="AG16" s="1239"/>
      <c r="AH16" s="1239"/>
      <c r="AI16" s="1239"/>
      <c r="AJ16" s="1239"/>
      <c r="AK16" s="2430"/>
      <c r="AL16" s="1240">
        <f>SUM(AM16:AW16)</f>
        <v>0</v>
      </c>
      <c r="AM16" s="1239"/>
      <c r="AN16" s="1239"/>
      <c r="AO16" s="1239"/>
      <c r="AP16" s="1239"/>
      <c r="AQ16" s="1239"/>
      <c r="AR16" s="1239"/>
      <c r="AS16" s="1239"/>
      <c r="AT16" s="1239"/>
      <c r="AU16" s="1239"/>
      <c r="AV16" s="1239"/>
      <c r="AW16" s="2430"/>
      <c r="AX16" s="1238"/>
      <c r="BJ16" s="1159">
        <v>23</v>
      </c>
    </row>
    <row customHeight="1" ht="24">
      <c r="F17" s="1234" t="s">
        <v>1337</v>
      </c>
      <c r="G17" s="1241" t="s">
        <v>1338</v>
      </c>
      <c r="H17" s="1240">
        <f>SUM(I17:J17)</f>
        <v>0</v>
      </c>
      <c r="I17" s="1239"/>
      <c r="J17" s="1229"/>
      <c r="K17" s="1240">
        <f>SUM(L17:AK17)</f>
        <v>0</v>
      </c>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2430"/>
      <c r="AL17" s="1240">
        <f>SUM(AM17:AW17)</f>
        <v>0</v>
      </c>
      <c r="AM17" s="1239"/>
      <c r="AN17" s="1239"/>
      <c r="AO17" s="1239"/>
      <c r="AP17" s="1239"/>
      <c r="AQ17" s="1239"/>
      <c r="AR17" s="1239"/>
      <c r="AS17" s="1239"/>
      <c r="AT17" s="1239"/>
      <c r="AU17" s="1239"/>
      <c r="AV17" s="1239"/>
      <c r="AW17" s="2430"/>
      <c r="AX17" s="1238"/>
      <c r="BJ17" s="1159">
        <v>23</v>
      </c>
    </row>
    <row customHeight="1" ht="35.699999999999996">
      <c r="F18" s="1234" t="s">
        <v>1339</v>
      </c>
      <c r="G18" s="1241" t="s">
        <v>1340</v>
      </c>
      <c r="H18" s="1240">
        <f>SUM(I18:J18)</f>
        <v>0</v>
      </c>
      <c r="I18" s="1239"/>
      <c r="J18" s="1229"/>
      <c r="K18" s="1240">
        <f>SUM(L18:AK18)</f>
        <v>0</v>
      </c>
      <c r="L18" s="1239"/>
      <c r="M18" s="1239"/>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2430"/>
      <c r="AL18" s="1240">
        <f>SUM(AM18:AW18)</f>
        <v>0</v>
      </c>
      <c r="AM18" s="1239"/>
      <c r="AN18" s="1239"/>
      <c r="AO18" s="1239"/>
      <c r="AP18" s="1239"/>
      <c r="AQ18" s="1239"/>
      <c r="AR18" s="1239"/>
      <c r="AS18" s="1239"/>
      <c r="AT18" s="1239"/>
      <c r="AU18" s="1239"/>
      <c r="AV18" s="1239"/>
      <c r="AW18" s="2430"/>
      <c r="AX18" s="1238"/>
      <c r="BJ18" s="1159">
        <v>34</v>
      </c>
    </row>
    <row customHeight="1" ht="35.699999999999996">
      <c r="F19" s="1234" t="s">
        <v>1341</v>
      </c>
      <c r="G19" s="1241" t="s">
        <v>1342</v>
      </c>
      <c r="H19" s="1240">
        <f>SUM(I19:J19)</f>
        <v>0</v>
      </c>
      <c r="I19" s="1239"/>
      <c r="J19" s="1229"/>
      <c r="K19" s="1240">
        <f>SUM(L19:AK19)</f>
        <v>0</v>
      </c>
      <c r="L19" s="1239"/>
      <c r="M19" s="1239"/>
      <c r="N19" s="1239"/>
      <c r="O19" s="1239"/>
      <c r="P19" s="1239"/>
      <c r="Q19" s="1239"/>
      <c r="R19" s="1239"/>
      <c r="S19" s="1239"/>
      <c r="T19" s="1239"/>
      <c r="U19" s="1239"/>
      <c r="V19" s="1239"/>
      <c r="W19" s="1239"/>
      <c r="X19" s="1239"/>
      <c r="Y19" s="1239"/>
      <c r="Z19" s="1239"/>
      <c r="AA19" s="1239"/>
      <c r="AB19" s="1239"/>
      <c r="AC19" s="1239"/>
      <c r="AD19" s="1239"/>
      <c r="AE19" s="1239"/>
      <c r="AF19" s="1239"/>
      <c r="AG19" s="1239"/>
      <c r="AH19" s="1239"/>
      <c r="AI19" s="1239"/>
      <c r="AJ19" s="1239"/>
      <c r="AK19" s="2430"/>
      <c r="AL19" s="1240">
        <f>SUM(AM19:AW19)</f>
        <v>0</v>
      </c>
      <c r="AM19" s="1239"/>
      <c r="AN19" s="1239"/>
      <c r="AO19" s="1239"/>
      <c r="AP19" s="1239"/>
      <c r="AQ19" s="1239"/>
      <c r="AR19" s="1239"/>
      <c r="AS19" s="1239"/>
      <c r="AT19" s="1239"/>
      <c r="AU19" s="1239"/>
      <c r="AV19" s="1239"/>
      <c r="AW19" s="2430"/>
      <c r="AX19" s="1238"/>
      <c r="BJ19" s="1159">
        <v>34</v>
      </c>
    </row>
    <row customHeight="1" ht="48.29999999999999">
      <c r="F20" s="1234" t="s">
        <v>1343</v>
      </c>
      <c r="G20" s="1241" t="s">
        <v>1344</v>
      </c>
      <c r="H20" s="1240">
        <f>SUM(I20:J20)</f>
        <v>0</v>
      </c>
      <c r="I20" s="1239"/>
      <c r="J20" s="1229"/>
      <c r="K20" s="1240">
        <f>SUM(L20:AK20)</f>
        <v>0</v>
      </c>
      <c r="L20" s="1239"/>
      <c r="M20" s="1239"/>
      <c r="N20" s="1239"/>
      <c r="O20" s="1239"/>
      <c r="P20" s="1239"/>
      <c r="Q20" s="1239"/>
      <c r="R20" s="1239"/>
      <c r="S20" s="1239"/>
      <c r="T20" s="1239"/>
      <c r="U20" s="1239"/>
      <c r="V20" s="1239"/>
      <c r="W20" s="1239"/>
      <c r="X20" s="1239"/>
      <c r="Y20" s="1239"/>
      <c r="Z20" s="1239"/>
      <c r="AA20" s="1239"/>
      <c r="AB20" s="1239"/>
      <c r="AC20" s="1239"/>
      <c r="AD20" s="1239"/>
      <c r="AE20" s="1239"/>
      <c r="AF20" s="1239"/>
      <c r="AG20" s="1239"/>
      <c r="AH20" s="1239"/>
      <c r="AI20" s="1239"/>
      <c r="AJ20" s="1239"/>
      <c r="AK20" s="2430"/>
      <c r="AL20" s="1240">
        <f>SUM(AM20:AW20)</f>
        <v>0</v>
      </c>
      <c r="AM20" s="1239"/>
      <c r="AN20" s="1239"/>
      <c r="AO20" s="1239"/>
      <c r="AP20" s="1239"/>
      <c r="AQ20" s="1239"/>
      <c r="AR20" s="1239"/>
      <c r="AS20" s="1239"/>
      <c r="AT20" s="1239"/>
      <c r="AU20" s="1239"/>
      <c r="AV20" s="1239"/>
      <c r="AW20" s="2430"/>
      <c r="AX20" s="1238"/>
      <c r="BJ20" s="1159">
        <v>46</v>
      </c>
    </row>
    <row customHeight="1" ht="35.699999999999996">
      <c r="F21" s="1234" t="s">
        <v>1345</v>
      </c>
      <c r="G21" s="1241" t="s">
        <v>1346</v>
      </c>
      <c r="H21" s="1240">
        <f>SUM(I21:J21)</f>
        <v>0</v>
      </c>
      <c r="I21" s="1239"/>
      <c r="J21" s="1229"/>
      <c r="K21" s="1240">
        <f>SUM(L21:AK21)</f>
        <v>0</v>
      </c>
      <c r="L21" s="1239"/>
      <c r="M21" s="1239"/>
      <c r="N21" s="1239"/>
      <c r="O21" s="1239"/>
      <c r="P21" s="1239"/>
      <c r="Q21" s="1239"/>
      <c r="R21" s="1239"/>
      <c r="S21" s="1239"/>
      <c r="T21" s="1239"/>
      <c r="U21" s="1239"/>
      <c r="V21" s="1239"/>
      <c r="W21" s="1239"/>
      <c r="X21" s="1239"/>
      <c r="Y21" s="1239"/>
      <c r="Z21" s="1239"/>
      <c r="AA21" s="1239"/>
      <c r="AB21" s="1239"/>
      <c r="AC21" s="1239"/>
      <c r="AD21" s="1239"/>
      <c r="AE21" s="1239"/>
      <c r="AF21" s="1239"/>
      <c r="AG21" s="1239"/>
      <c r="AH21" s="1239"/>
      <c r="AI21" s="1239"/>
      <c r="AJ21" s="1239"/>
      <c r="AK21" s="2430"/>
      <c r="AL21" s="1240">
        <f>SUM(AM21:AW21)</f>
        <v>0</v>
      </c>
      <c r="AM21" s="1239"/>
      <c r="AN21" s="1239"/>
      <c r="AO21" s="1239"/>
      <c r="AP21" s="1239"/>
      <c r="AQ21" s="1239"/>
      <c r="AR21" s="1239"/>
      <c r="AS21" s="1239"/>
      <c r="AT21" s="1239"/>
      <c r="AU21" s="1239"/>
      <c r="AV21" s="1239"/>
      <c r="AW21" s="2430"/>
      <c r="AX21" s="1238"/>
      <c r="BJ21" s="1159">
        <v>34</v>
      </c>
    </row>
    <row customHeight="1" ht="35.699999999999996">
      <c r="F22" s="1234" t="s">
        <v>1347</v>
      </c>
      <c r="G22" s="1241" t="s">
        <v>1348</v>
      </c>
      <c r="H22" s="1240">
        <f>SUM(I22:J22)</f>
        <v>0</v>
      </c>
      <c r="I22" s="1239"/>
      <c r="J22" s="1229"/>
      <c r="K22" s="1240">
        <f>SUM(L22:AK22)</f>
        <v>0</v>
      </c>
      <c r="L22" s="1239"/>
      <c r="M22" s="1239"/>
      <c r="N22" s="1239"/>
      <c r="O22" s="1239"/>
      <c r="P22" s="1239"/>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2430"/>
      <c r="AL22" s="1240">
        <f>SUM(AM22:AW22)</f>
        <v>0</v>
      </c>
      <c r="AM22" s="1239"/>
      <c r="AN22" s="1239"/>
      <c r="AO22" s="1239"/>
      <c r="AP22" s="1239"/>
      <c r="AQ22" s="1239"/>
      <c r="AR22" s="1239"/>
      <c r="AS22" s="1239"/>
      <c r="AT22" s="1239"/>
      <c r="AU22" s="1239"/>
      <c r="AV22" s="1239"/>
      <c r="AW22" s="2430"/>
      <c r="AX22" s="1238"/>
      <c r="BJ22" s="1159">
        <v>34</v>
      </c>
    </row>
    <row customHeight="1" ht="24">
      <c r="F23" s="1234" t="s">
        <v>1349</v>
      </c>
      <c r="G23" s="1241" t="s">
        <v>1350</v>
      </c>
      <c r="H23" s="1240">
        <f>SUM(I23:J23)</f>
        <v>0</v>
      </c>
      <c r="I23" s="1239"/>
      <c r="J23" s="1229"/>
      <c r="K23" s="1240">
        <f>SUM(L23:AK23)</f>
        <v>0</v>
      </c>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2430"/>
      <c r="AL23" s="1240">
        <f>SUM(AM23:AW23)</f>
        <v>0</v>
      </c>
      <c r="AM23" s="1239"/>
      <c r="AN23" s="1239"/>
      <c r="AO23" s="1239"/>
      <c r="AP23" s="1239"/>
      <c r="AQ23" s="1239"/>
      <c r="AR23" s="1239"/>
      <c r="AS23" s="1239"/>
      <c r="AT23" s="1239"/>
      <c r="AU23" s="1239"/>
      <c r="AV23" s="1239"/>
      <c r="AW23" s="2430"/>
      <c r="AX23" s="1238"/>
      <c r="BJ23" s="1159">
        <v>23</v>
      </c>
    </row>
    <row customHeight="1" ht="24">
      <c r="F24" s="1234" t="s">
        <v>1351</v>
      </c>
      <c r="G24" s="1241" t="s">
        <v>1352</v>
      </c>
      <c r="H24" s="1240">
        <f>SUM(I24:J24)</f>
        <v>0</v>
      </c>
      <c r="I24" s="1239"/>
      <c r="J24" s="1229"/>
      <c r="K24" s="1240">
        <f>SUM(L24:AK24)</f>
        <v>0</v>
      </c>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2430"/>
      <c r="AL24" s="1240">
        <f>SUM(AM24:AW24)</f>
        <v>0</v>
      </c>
      <c r="AM24" s="1239"/>
      <c r="AN24" s="1239"/>
      <c r="AO24" s="1239"/>
      <c r="AP24" s="1239"/>
      <c r="AQ24" s="1239"/>
      <c r="AR24" s="1239"/>
      <c r="AS24" s="1239"/>
      <c r="AT24" s="1239"/>
      <c r="AU24" s="1239"/>
      <c r="AV24" s="1239"/>
      <c r="AW24" s="2430"/>
      <c r="AX24" s="1238"/>
      <c r="BJ24" s="1159">
        <v>23</v>
      </c>
    </row>
    <row customHeight="1" ht="35.699999999999996">
      <c r="F25" s="1234" t="s">
        <v>1353</v>
      </c>
      <c r="G25" s="1241" t="s">
        <v>1354</v>
      </c>
      <c r="H25" s="1240">
        <f>SUM(I25:J25)</f>
        <v>0</v>
      </c>
      <c r="I25" s="1239"/>
      <c r="J25" s="1229"/>
      <c r="K25" s="1240">
        <f>SUM(L25:AK25)</f>
        <v>0</v>
      </c>
      <c r="L25" s="1239"/>
      <c r="M25" s="1239"/>
      <c r="N25" s="1239"/>
      <c r="O25" s="1239"/>
      <c r="P25" s="1239"/>
      <c r="Q25" s="1239"/>
      <c r="R25" s="1239"/>
      <c r="S25" s="1239"/>
      <c r="T25" s="1239"/>
      <c r="U25" s="1239"/>
      <c r="V25" s="1239"/>
      <c r="W25" s="1239"/>
      <c r="X25" s="1239"/>
      <c r="Y25" s="1239"/>
      <c r="Z25" s="1239"/>
      <c r="AA25" s="1239"/>
      <c r="AB25" s="1239"/>
      <c r="AC25" s="1239"/>
      <c r="AD25" s="1239"/>
      <c r="AE25" s="1239"/>
      <c r="AF25" s="1239"/>
      <c r="AG25" s="1239"/>
      <c r="AH25" s="1239"/>
      <c r="AI25" s="1239"/>
      <c r="AJ25" s="1239"/>
      <c r="AK25" s="2430"/>
      <c r="AL25" s="1240">
        <f>SUM(AM25:AW25)</f>
        <v>0</v>
      </c>
      <c r="AM25" s="1239"/>
      <c r="AN25" s="1239"/>
      <c r="AO25" s="1239"/>
      <c r="AP25" s="1239"/>
      <c r="AQ25" s="1239"/>
      <c r="AR25" s="1239"/>
      <c r="AS25" s="1239"/>
      <c r="AT25" s="1239"/>
      <c r="AU25" s="1239"/>
      <c r="AV25" s="1239"/>
      <c r="AW25" s="2430"/>
      <c r="AX25" s="1238"/>
      <c r="BJ25" s="1159">
        <v>34</v>
      </c>
    </row>
    <row customHeight="1" ht="35.699999999999996">
      <c r="F26" s="1234" t="s">
        <v>1355</v>
      </c>
      <c r="G26" s="1241" t="s">
        <v>1356</v>
      </c>
      <c r="H26" s="1240">
        <f>SUM(I26:J26)</f>
        <v>0</v>
      </c>
      <c r="I26" s="1239"/>
      <c r="J26" s="1229"/>
      <c r="K26" s="1240">
        <f>SUM(L26:AK26)</f>
        <v>0</v>
      </c>
      <c r="L26" s="1239"/>
      <c r="M26" s="1239"/>
      <c r="N26" s="1239"/>
      <c r="O26" s="1239"/>
      <c r="P26" s="1239"/>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2430"/>
      <c r="AL26" s="1240">
        <f>SUM(AM26:AW26)</f>
        <v>0</v>
      </c>
      <c r="AM26" s="1239"/>
      <c r="AN26" s="1239"/>
      <c r="AO26" s="1239"/>
      <c r="AP26" s="1239"/>
      <c r="AQ26" s="1239"/>
      <c r="AR26" s="1239"/>
      <c r="AS26" s="1239"/>
      <c r="AT26" s="1239"/>
      <c r="AU26" s="1239"/>
      <c r="AV26" s="1239"/>
      <c r="AW26" s="2430"/>
      <c r="AX26" s="1238"/>
      <c r="BJ26" s="1159">
        <v>34</v>
      </c>
    </row>
    <row customHeight="1" ht="11.549999999999999">
      <c r="F27" s="1234" t="s">
        <v>1357</v>
      </c>
      <c r="G27" s="1241" t="s">
        <v>1358</v>
      </c>
      <c r="H27" s="1240">
        <f>SUM(I27:J27)</f>
        <v>0</v>
      </c>
      <c r="I27" s="1239"/>
      <c r="J27" s="1229"/>
      <c r="K27" s="1240">
        <f>SUM(L27:AK27)</f>
        <v>0</v>
      </c>
      <c r="L27" s="1239"/>
      <c r="M27" s="1239"/>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2430"/>
      <c r="AL27" s="1240">
        <f>SUM(AM27:AW27)</f>
        <v>0</v>
      </c>
      <c r="AM27" s="1239"/>
      <c r="AN27" s="1239"/>
      <c r="AO27" s="1239"/>
      <c r="AP27" s="1239"/>
      <c r="AQ27" s="1239"/>
      <c r="AR27" s="1239"/>
      <c r="AS27" s="1239"/>
      <c r="AT27" s="1239"/>
      <c r="AU27" s="1239"/>
      <c r="AV27" s="1239"/>
      <c r="AW27" s="2430"/>
      <c r="AX27" s="1238"/>
      <c r="BJ27" s="1159">
        <v>11</v>
      </c>
    </row>
    <row customHeight="1" ht="11.549999999999999">
      <c r="F28" s="1234">
        <v>2</v>
      </c>
      <c r="G28" s="694" t="s">
        <v>1359</v>
      </c>
      <c r="H28" s="1240">
        <f>SUM(I28:J28)</f>
        <v>0</v>
      </c>
      <c r="I28" s="1240">
        <f>SUM(I29:I31)</f>
        <v>0</v>
      </c>
      <c r="J28" s="1229"/>
      <c r="K28" s="1240">
        <f>SUM(L28:AK28)</f>
        <v>0</v>
      </c>
      <c r="L28" s="1240">
        <f>SUM(L29:L31)</f>
        <v>0</v>
      </c>
      <c r="M28" s="1240">
        <f>SUM(M29:M31)</f>
        <v>0</v>
      </c>
      <c r="N28" s="1240">
        <f>SUM(N29:N31)</f>
        <v>0</v>
      </c>
      <c r="O28" s="1240">
        <f>SUM(O29:O31)</f>
        <v>0</v>
      </c>
      <c r="P28" s="1240">
        <f>SUM(P29:P31)</f>
        <v>0</v>
      </c>
      <c r="Q28" s="1240">
        <f>SUM(Q29:Q31)</f>
        <v>0</v>
      </c>
      <c r="R28" s="1240">
        <f>SUM(R29:R31)</f>
        <v>0</v>
      </c>
      <c r="S28" s="1240">
        <f>SUM(S29:S31)</f>
        <v>0</v>
      </c>
      <c r="T28" s="1240">
        <f>SUM(T29:T31)</f>
        <v>0</v>
      </c>
      <c r="U28" s="1240">
        <f>SUM(U29:U31)</f>
        <v>0</v>
      </c>
      <c r="V28" s="1240">
        <f>SUM(V29:V31)</f>
        <v>0</v>
      </c>
      <c r="W28" s="1240">
        <f>SUM(W29:W31)</f>
        <v>0</v>
      </c>
      <c r="X28" s="1240">
        <f>SUM(X29:X31)</f>
        <v>0</v>
      </c>
      <c r="Y28" s="1240">
        <f>SUM(Y29:Y31)</f>
        <v>0</v>
      </c>
      <c r="Z28" s="1240">
        <f>SUM(Z29:Z31)</f>
        <v>0</v>
      </c>
      <c r="AA28" s="1240">
        <f>SUM(AA29:AA31)</f>
        <v>0</v>
      </c>
      <c r="AB28" s="1240">
        <f>SUM(AB29:AB31)</f>
        <v>0</v>
      </c>
      <c r="AC28" s="1240">
        <f>SUM(AC29:AC31)</f>
        <v>0</v>
      </c>
      <c r="AD28" s="1240">
        <f>SUM(AD29:AD31)</f>
        <v>0</v>
      </c>
      <c r="AE28" s="1240">
        <f>SUM(AE29:AE31)</f>
        <v>0</v>
      </c>
      <c r="AF28" s="1240">
        <f>SUM(AF29:AF31)</f>
        <v>0</v>
      </c>
      <c r="AG28" s="1240">
        <f>SUM(AG29:AG31)</f>
        <v>0</v>
      </c>
      <c r="AH28" s="1240">
        <f>SUM(AH29:AH31)</f>
        <v>0</v>
      </c>
      <c r="AI28" s="1240">
        <f>SUM(AI29:AI31)</f>
        <v>0</v>
      </c>
      <c r="AJ28" s="1240">
        <f>SUM(AJ29:AJ31)</f>
        <v>0</v>
      </c>
      <c r="AK28" s="2430"/>
      <c r="AL28" s="1240">
        <f>SUM(AM28:AW28)</f>
        <v>0</v>
      </c>
      <c r="AM28" s="1240">
        <f>SUM(AM29:AM31)</f>
        <v>0</v>
      </c>
      <c r="AN28" s="1240">
        <f>SUM(AN29:AN31)</f>
        <v>0</v>
      </c>
      <c r="AO28" s="1240">
        <f>SUM(AO29:AO31)</f>
        <v>0</v>
      </c>
      <c r="AP28" s="1240">
        <f>SUM(AP29:AP31)</f>
        <v>0</v>
      </c>
      <c r="AQ28" s="1240">
        <f>SUM(AQ29:AQ31)</f>
        <v>0</v>
      </c>
      <c r="AR28" s="1240">
        <f>SUM(AR29:AR31)</f>
        <v>0</v>
      </c>
      <c r="AS28" s="1240">
        <f>SUM(AS29:AS31)</f>
        <v>0</v>
      </c>
      <c r="AT28" s="1240">
        <f>SUM(AT29:AT31)</f>
        <v>0</v>
      </c>
      <c r="AU28" s="1240">
        <f>SUM(AU29:AU31)</f>
        <v>0</v>
      </c>
      <c r="AV28" s="1240">
        <f>SUM(AV29:AV31)</f>
        <v>0</v>
      </c>
      <c r="AW28" s="2430"/>
      <c r="AX28" s="1238"/>
      <c r="BJ28" s="1159">
        <v>11</v>
      </c>
    </row>
    <row customHeight="1" ht="11.549999999999999">
      <c r="F29" s="1234" t="s">
        <v>969</v>
      </c>
      <c r="G29" s="1241" t="s">
        <v>1360</v>
      </c>
      <c r="H29" s="1240">
        <f>SUM(I29:J29)</f>
        <v>0</v>
      </c>
      <c r="I29" s="1239"/>
      <c r="J29" s="1229"/>
      <c r="K29" s="1240">
        <f>SUM(L29:AK29)</f>
        <v>0</v>
      </c>
      <c r="L29" s="1239"/>
      <c r="M29" s="1239"/>
      <c r="N29" s="1239"/>
      <c r="O29" s="1239"/>
      <c r="P29" s="1239"/>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2430"/>
      <c r="AL29" s="1240">
        <f>SUM(AM29:AW29)</f>
        <v>0</v>
      </c>
      <c r="AM29" s="1239"/>
      <c r="AN29" s="1239"/>
      <c r="AO29" s="1239"/>
      <c r="AP29" s="1239"/>
      <c r="AQ29" s="1239"/>
      <c r="AR29" s="1239"/>
      <c r="AS29" s="1239"/>
      <c r="AT29" s="1239"/>
      <c r="AU29" s="1239"/>
      <c r="AV29" s="1239"/>
      <c r="AW29" s="2430"/>
      <c r="AX29" s="1238"/>
      <c r="BJ29" s="1159">
        <v>11</v>
      </c>
    </row>
    <row customHeight="1" ht="11.549999999999999">
      <c r="F30" s="1234" t="s">
        <v>325</v>
      </c>
      <c r="G30" s="1241" t="s">
        <v>1361</v>
      </c>
      <c r="H30" s="1240">
        <f>SUM(I30:J30)</f>
        <v>0</v>
      </c>
      <c r="I30" s="1239"/>
      <c r="J30" s="1229"/>
      <c r="K30" s="1240">
        <f>SUM(L30:AK30)</f>
        <v>0</v>
      </c>
      <c r="L30" s="1239"/>
      <c r="M30" s="1239"/>
      <c r="N30" s="1239"/>
      <c r="O30" s="1239"/>
      <c r="P30" s="1239"/>
      <c r="Q30" s="1239"/>
      <c r="R30" s="1239"/>
      <c r="S30" s="1239"/>
      <c r="T30" s="1239"/>
      <c r="U30" s="1239"/>
      <c r="V30" s="1239"/>
      <c r="W30" s="1239"/>
      <c r="X30" s="1239"/>
      <c r="Y30" s="1239"/>
      <c r="Z30" s="1239"/>
      <c r="AA30" s="1239"/>
      <c r="AB30" s="1239"/>
      <c r="AC30" s="1239"/>
      <c r="AD30" s="1239"/>
      <c r="AE30" s="1239"/>
      <c r="AF30" s="1239"/>
      <c r="AG30" s="1239"/>
      <c r="AH30" s="1239"/>
      <c r="AI30" s="1239"/>
      <c r="AJ30" s="1239"/>
      <c r="AK30" s="2430"/>
      <c r="AL30" s="1240">
        <f>SUM(AM30:AW30)</f>
        <v>0</v>
      </c>
      <c r="AM30" s="1239"/>
      <c r="AN30" s="1239"/>
      <c r="AO30" s="1239"/>
      <c r="AP30" s="1239"/>
      <c r="AQ30" s="1239"/>
      <c r="AR30" s="1239"/>
      <c r="AS30" s="1239"/>
      <c r="AT30" s="1239"/>
      <c r="AU30" s="1239"/>
      <c r="AV30" s="1239"/>
      <c r="AW30" s="2430"/>
      <c r="AX30" s="1238"/>
      <c r="BJ30" s="1159">
        <v>11</v>
      </c>
    </row>
    <row customHeight="1" ht="11.549999999999999">
      <c r="F31" s="1234" t="s">
        <v>328</v>
      </c>
      <c r="G31" s="1241" t="s">
        <v>1362</v>
      </c>
      <c r="H31" s="1240">
        <f>SUM(I31:J31)</f>
        <v>0</v>
      </c>
      <c r="I31" s="1239"/>
      <c r="J31" s="1229"/>
      <c r="K31" s="1240">
        <f>SUM(L31:AK31)</f>
        <v>0</v>
      </c>
      <c r="L31" s="1239"/>
      <c r="M31" s="1239"/>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2430"/>
      <c r="AL31" s="1240">
        <f>SUM(AM31:AW31)</f>
        <v>0</v>
      </c>
      <c r="AM31" s="1239"/>
      <c r="AN31" s="1239"/>
      <c r="AO31" s="1239"/>
      <c r="AP31" s="1239"/>
      <c r="AQ31" s="1239"/>
      <c r="AR31" s="1239"/>
      <c r="AS31" s="1239"/>
      <c r="AT31" s="1239"/>
      <c r="AU31" s="1239"/>
      <c r="AV31" s="1239"/>
      <c r="AW31" s="2430"/>
      <c r="AX31" s="1238"/>
      <c r="BJ31" s="1159">
        <v>11</v>
      </c>
    </row>
    <row customHeight="1" ht="11.549999999999999">
      <c r="F32" s="1234">
        <v>3</v>
      </c>
      <c r="G32" s="694" t="s">
        <v>1363</v>
      </c>
      <c r="H32" s="1240">
        <f>SUM(I32:J32)</f>
        <v>0</v>
      </c>
      <c r="I32" s="1240">
        <f>SUM(I33:I34)</f>
        <v>0</v>
      </c>
      <c r="J32" s="1229"/>
      <c r="K32" s="1240">
        <f>SUM(L32:AK32)</f>
        <v>0</v>
      </c>
      <c r="L32" s="1240">
        <f>SUM(L33:L34)</f>
        <v>0</v>
      </c>
      <c r="M32" s="1240">
        <f>SUM(M33:M34)</f>
        <v>0</v>
      </c>
      <c r="N32" s="1240">
        <f>SUM(N33:N34)</f>
        <v>0</v>
      </c>
      <c r="O32" s="1240">
        <f>SUM(O33:O34)</f>
        <v>0</v>
      </c>
      <c r="P32" s="1240">
        <f>SUM(P33:P34)</f>
        <v>0</v>
      </c>
      <c r="Q32" s="1240">
        <f>SUM(Q33:Q34)</f>
        <v>0</v>
      </c>
      <c r="R32" s="1240">
        <f>SUM(R33:R34)</f>
        <v>0</v>
      </c>
      <c r="S32" s="1240">
        <f>SUM(S33:S34)</f>
        <v>0</v>
      </c>
      <c r="T32" s="1240">
        <f>SUM(T33:T34)</f>
        <v>0</v>
      </c>
      <c r="U32" s="1240">
        <f>SUM(U33:U34)</f>
        <v>0</v>
      </c>
      <c r="V32" s="1240">
        <f>SUM(V33:V34)</f>
        <v>0</v>
      </c>
      <c r="W32" s="1240">
        <f>SUM(W33:W34)</f>
        <v>0</v>
      </c>
      <c r="X32" s="1240">
        <f>SUM(X33:X34)</f>
        <v>0</v>
      </c>
      <c r="Y32" s="1240">
        <f>SUM(Y33:Y34)</f>
        <v>0</v>
      </c>
      <c r="Z32" s="1240">
        <f>SUM(Z33:Z34)</f>
        <v>0</v>
      </c>
      <c r="AA32" s="1240">
        <f>SUM(AA33:AA34)</f>
        <v>0</v>
      </c>
      <c r="AB32" s="1240">
        <f>SUM(AB33:AB34)</f>
        <v>0</v>
      </c>
      <c r="AC32" s="1240">
        <f>SUM(AC33:AC34)</f>
        <v>0</v>
      </c>
      <c r="AD32" s="1240">
        <f>SUM(AD33:AD34)</f>
        <v>0</v>
      </c>
      <c r="AE32" s="1240">
        <f>SUM(AE33:AE34)</f>
        <v>0</v>
      </c>
      <c r="AF32" s="1240">
        <f>SUM(AF33:AF34)</f>
        <v>0</v>
      </c>
      <c r="AG32" s="1240">
        <f>SUM(AG33:AG34)</f>
        <v>0</v>
      </c>
      <c r="AH32" s="1240">
        <f>SUM(AH33:AH34)</f>
        <v>0</v>
      </c>
      <c r="AI32" s="1240">
        <f>SUM(AI33:AI34)</f>
        <v>0</v>
      </c>
      <c r="AJ32" s="1240">
        <f>SUM(AJ33:AJ34)</f>
        <v>0</v>
      </c>
      <c r="AK32" s="2430"/>
      <c r="AL32" s="1240">
        <f>SUM(AM32:AW32)</f>
        <v>0</v>
      </c>
      <c r="AM32" s="1240">
        <f>SUM(AM33:AM34)</f>
        <v>0</v>
      </c>
      <c r="AN32" s="1240">
        <f>SUM(AN33:AN34)</f>
        <v>0</v>
      </c>
      <c r="AO32" s="1240">
        <f>SUM(AO33:AO34)</f>
        <v>0</v>
      </c>
      <c r="AP32" s="1240">
        <f>SUM(AP33:AP34)</f>
        <v>0</v>
      </c>
      <c r="AQ32" s="1240">
        <f>SUM(AQ33:AQ34)</f>
        <v>0</v>
      </c>
      <c r="AR32" s="1240">
        <f>SUM(AR33:AR34)</f>
        <v>0</v>
      </c>
      <c r="AS32" s="1240">
        <f>SUM(AS33:AS34)</f>
        <v>0</v>
      </c>
      <c r="AT32" s="1240">
        <f>SUM(AT33:AT34)</f>
        <v>0</v>
      </c>
      <c r="AU32" s="1240">
        <f>SUM(AU33:AU34)</f>
        <v>0</v>
      </c>
      <c r="AV32" s="1240">
        <f>SUM(AV33:AV34)</f>
        <v>0</v>
      </c>
      <c r="AW32" s="2430"/>
      <c r="AX32" s="1238"/>
      <c r="BJ32" s="1159">
        <v>11</v>
      </c>
    </row>
    <row customHeight="1" ht="48.29999999999999">
      <c r="F33" s="1234" t="s">
        <v>342</v>
      </c>
      <c r="G33" s="1241" t="s">
        <v>1364</v>
      </c>
      <c r="H33" s="1240">
        <f>SUM(I33:J33)</f>
        <v>0</v>
      </c>
      <c r="I33" s="1239"/>
      <c r="J33" s="1229"/>
      <c r="K33" s="1240">
        <f>SUM(L33:AK33)</f>
        <v>0</v>
      </c>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2430"/>
      <c r="AL33" s="1240">
        <f>SUM(AM33:AW33)</f>
        <v>0</v>
      </c>
      <c r="AM33" s="1239"/>
      <c r="AN33" s="1239"/>
      <c r="AO33" s="1239"/>
      <c r="AP33" s="1239"/>
      <c r="AQ33" s="1239"/>
      <c r="AR33" s="1239"/>
      <c r="AS33" s="1239"/>
      <c r="AT33" s="1239"/>
      <c r="AU33" s="1239"/>
      <c r="AV33" s="1239"/>
      <c r="AW33" s="2430"/>
      <c r="AX33" s="1238"/>
      <c r="BJ33" s="1159">
        <v>46</v>
      </c>
    </row>
    <row customHeight="1" ht="11.549999999999999">
      <c r="F34" s="1234" t="s">
        <v>350</v>
      </c>
      <c r="G34" s="1241" t="s">
        <v>1365</v>
      </c>
      <c r="H34" s="1240">
        <f>SUM(I34:J34)</f>
        <v>0</v>
      </c>
      <c r="I34" s="1239"/>
      <c r="J34" s="1229"/>
      <c r="K34" s="1240">
        <f>SUM(L34:AK34)</f>
        <v>0</v>
      </c>
      <c r="L34" s="1239"/>
      <c r="M34" s="1239"/>
      <c r="N34" s="1239"/>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2430"/>
      <c r="AL34" s="1240">
        <f>SUM(AM34:AW34)</f>
        <v>0</v>
      </c>
      <c r="AM34" s="1239"/>
      <c r="AN34" s="1239"/>
      <c r="AO34" s="1239"/>
      <c r="AP34" s="1239"/>
      <c r="AQ34" s="1239"/>
      <c r="AR34" s="1239"/>
      <c r="AS34" s="1239"/>
      <c r="AT34" s="1239"/>
      <c r="AU34" s="1239"/>
      <c r="AV34" s="1239"/>
      <c r="AW34" s="2430"/>
      <c r="AX34" s="1238"/>
      <c r="BJ34" s="1159">
        <v>11</v>
      </c>
    </row>
    <row customHeight="1" ht="11.549999999999999">
      <c r="F35" s="1234">
        <v>4</v>
      </c>
      <c r="G35" s="694" t="s">
        <v>1366</v>
      </c>
      <c r="H35" s="1240">
        <f>SUM(I35:J35)</f>
        <v>0</v>
      </c>
      <c r="I35" s="1239"/>
      <c r="J35" s="1229"/>
      <c r="K35" s="1240">
        <f>SUM(L35:AK35)</f>
        <v>0</v>
      </c>
      <c r="L35" s="1239"/>
      <c r="M35" s="1239"/>
      <c r="N35" s="1239"/>
      <c r="O35" s="1239"/>
      <c r="P35" s="1239"/>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2430"/>
      <c r="AL35" s="1240">
        <f>SUM(AM35:AW35)</f>
        <v>0</v>
      </c>
      <c r="AM35" s="1239"/>
      <c r="AN35" s="1239"/>
      <c r="AO35" s="1239"/>
      <c r="AP35" s="1239"/>
      <c r="AQ35" s="1239"/>
      <c r="AR35" s="1239"/>
      <c r="AS35" s="1239"/>
      <c r="AT35" s="1239"/>
      <c r="AU35" s="1239"/>
      <c r="AV35" s="1239"/>
      <c r="AW35" s="2430"/>
      <c r="AX35" s="1238"/>
      <c r="BJ35" s="1159">
        <v>11</v>
      </c>
    </row>
    <row customHeight="1" ht="11.549999999999999">
      <c r="F36" s="1234"/>
      <c r="G36" s="697" t="s">
        <v>1367</v>
      </c>
      <c r="H36" s="1240">
        <f>SUM(I36:J36)</f>
        <v>0</v>
      </c>
      <c r="I36" s="1240">
        <f>SUM(I15,I28,I32,I35)</f>
        <v>0</v>
      </c>
      <c r="J36" s="1229"/>
      <c r="K36" s="1240">
        <f>SUM(L36:AK36)</f>
        <v>0</v>
      </c>
      <c r="L36" s="1240">
        <f>SUM(L15,L28,L32,L35)</f>
        <v>0</v>
      </c>
      <c r="M36" s="1240">
        <f>SUM(M15,M28,M32,M35)</f>
        <v>0</v>
      </c>
      <c r="N36" s="1240">
        <f>SUM(N15,N28,N32,N35)</f>
        <v>0</v>
      </c>
      <c r="O36" s="1240">
        <f>SUM(O15,O28,O32,O35)</f>
        <v>0</v>
      </c>
      <c r="P36" s="1240">
        <f>SUM(P15,P28,P32,P35)</f>
        <v>0</v>
      </c>
      <c r="Q36" s="1240">
        <f>SUM(Q15,Q28,Q32,Q35)</f>
        <v>0</v>
      </c>
      <c r="R36" s="1240">
        <f>SUM(R15,R28,R32,R35)</f>
        <v>0</v>
      </c>
      <c r="S36" s="1240">
        <f>SUM(S15,S28,S32,S35)</f>
        <v>0</v>
      </c>
      <c r="T36" s="1240">
        <f>SUM(T15,T28,T32,T35)</f>
        <v>0</v>
      </c>
      <c r="U36" s="1240">
        <f>SUM(U15,U28,U32,U35)</f>
        <v>0</v>
      </c>
      <c r="V36" s="1240">
        <f>SUM(V15,V28,V32,V35)</f>
        <v>0</v>
      </c>
      <c r="W36" s="1240">
        <f>SUM(W15,W28,W32,W35)</f>
        <v>0</v>
      </c>
      <c r="X36" s="1240">
        <f>SUM(X15,X28,X32,X35)</f>
        <v>0</v>
      </c>
      <c r="Y36" s="1240">
        <f>SUM(Y15,Y28,Y32,Y35)</f>
        <v>0</v>
      </c>
      <c r="Z36" s="1240">
        <f>SUM(Z15,Z28,Z32,Z35)</f>
        <v>0</v>
      </c>
      <c r="AA36" s="1240">
        <f>SUM(AA15,AA28,AA32,AA35)</f>
        <v>0</v>
      </c>
      <c r="AB36" s="1240">
        <f>SUM(AB15,AB28,AB32,AB35)</f>
        <v>0</v>
      </c>
      <c r="AC36" s="1240">
        <f>SUM(AC15,AC28,AC32,AC35)</f>
        <v>0</v>
      </c>
      <c r="AD36" s="1240">
        <f>SUM(AD15,AD28,AD32,AD35)</f>
        <v>0</v>
      </c>
      <c r="AE36" s="1240">
        <f>SUM(AE15,AE28,AE32,AE35)</f>
        <v>0</v>
      </c>
      <c r="AF36" s="1240">
        <f>SUM(AF15,AF28,AF32,AF35)</f>
        <v>0</v>
      </c>
      <c r="AG36" s="1240">
        <f>SUM(AG15,AG28,AG32,AG35)</f>
        <v>0</v>
      </c>
      <c r="AH36" s="1240">
        <f>SUM(AH15,AH28,AH32,AH35)</f>
        <v>0</v>
      </c>
      <c r="AI36" s="1240">
        <f>SUM(AI15,AI28,AI32,AI35)</f>
        <v>0</v>
      </c>
      <c r="AJ36" s="1240">
        <f>SUM(AJ15,AJ28,AJ32,AJ35)</f>
        <v>0</v>
      </c>
      <c r="AK36" s="2430"/>
      <c r="AL36" s="1240">
        <f>SUM(AM36:AW36)</f>
        <v>0</v>
      </c>
      <c r="AM36" s="1240">
        <f>SUM(AM15,AM28,AM32,AM35)</f>
        <v>0</v>
      </c>
      <c r="AN36" s="1240">
        <f>SUM(AN15,AN28,AN32,AN35)</f>
        <v>0</v>
      </c>
      <c r="AO36" s="1240">
        <f>SUM(AO15,AO28,AO32,AO35)</f>
        <v>0</v>
      </c>
      <c r="AP36" s="1240">
        <f>SUM(AP15,AP28,AP32,AP35)</f>
        <v>0</v>
      </c>
      <c r="AQ36" s="1240">
        <f>SUM(AQ15,AQ28,AQ32,AQ35)</f>
        <v>0</v>
      </c>
      <c r="AR36" s="1240">
        <f>SUM(AR15,AR28,AR32,AR35)</f>
        <v>0</v>
      </c>
      <c r="AS36" s="1240">
        <f>SUM(AS15,AS28,AS32,AS35)</f>
        <v>0</v>
      </c>
      <c r="AT36" s="1240">
        <f>SUM(AT15,AT28,AT32,AT35)</f>
        <v>0</v>
      </c>
      <c r="AU36" s="1240">
        <f>SUM(AU15,AU28,AU32,AU35)</f>
        <v>0</v>
      </c>
      <c r="AV36" s="1240">
        <f>SUM(AV15,AV28,AV32,AV35)</f>
        <v>0</v>
      </c>
      <c r="AW36" s="2430"/>
      <c r="AX36" s="1238"/>
      <c r="BJ36" s="1159">
        <v>11</v>
      </c>
    </row>
    <row customHeight="1" ht="29.25">
      <c r="F37" s="1235" t="s">
        <v>1368</v>
      </c>
      <c r="G37" s="2426" t="s">
        <v>1369</v>
      </c>
      <c r="H37" s="2426"/>
      <c r="I37" s="2426"/>
      <c r="J37" s="2426"/>
      <c r="K37" s="2642"/>
      <c r="L37" s="2642"/>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c r="AS37" s="2642"/>
      <c r="AT37" s="2642"/>
      <c r="AU37" s="2642"/>
      <c r="AV37" s="2642"/>
      <c r="AW37" s="2642"/>
      <c r="AX37" s="1238"/>
      <c r="BJ37" s="1159">
        <v>28</v>
      </c>
    </row>
    <row customHeight="1" ht="24">
      <c r="F38" s="1234" t="s">
        <v>119</v>
      </c>
      <c r="G38" s="694" t="s">
        <v>1370</v>
      </c>
      <c r="H38" s="1240">
        <f>SUM(I38:J38)</f>
        <v>0</v>
      </c>
      <c r="I38" s="1240">
        <f>SUM(I39,I44,I47)</f>
        <v>0</v>
      </c>
      <c r="J38" s="1229"/>
      <c r="K38" s="1240">
        <f>SUM(L38:AK38)</f>
        <v>0</v>
      </c>
      <c r="L38" s="1240">
        <f>SUM(L39,L44,L47)</f>
        <v>0</v>
      </c>
      <c r="M38" s="1240">
        <f>SUM(M39,M44,M47)</f>
        <v>0</v>
      </c>
      <c r="N38" s="1240">
        <f>SUM(N39,N44,N47)</f>
        <v>0</v>
      </c>
      <c r="O38" s="1240">
        <f>SUM(O39,O44,O47)</f>
        <v>0</v>
      </c>
      <c r="P38" s="1240">
        <f>SUM(P39,P44,P47)</f>
        <v>0</v>
      </c>
      <c r="Q38" s="1240">
        <f>SUM(Q39,Q44,Q47)</f>
        <v>0</v>
      </c>
      <c r="R38" s="1240">
        <f>SUM(R39,R44,R47)</f>
        <v>0</v>
      </c>
      <c r="S38" s="1240">
        <f>SUM(S39,S44,S47)</f>
        <v>0</v>
      </c>
      <c r="T38" s="1240">
        <f>SUM(T39,T44,T47)</f>
        <v>0</v>
      </c>
      <c r="U38" s="1240">
        <f>SUM(U39,U44,U47)</f>
        <v>0</v>
      </c>
      <c r="V38" s="1240">
        <f>SUM(V39,V44,V47)</f>
        <v>0</v>
      </c>
      <c r="W38" s="1240">
        <f>SUM(W39,W44,W47)</f>
        <v>0</v>
      </c>
      <c r="X38" s="1240">
        <f>SUM(X39,X44,X47)</f>
        <v>0</v>
      </c>
      <c r="Y38" s="1240">
        <f>SUM(Y39,Y44,Y47)</f>
        <v>0</v>
      </c>
      <c r="Z38" s="1240">
        <f>SUM(Z39,Z44,Z47)</f>
        <v>0</v>
      </c>
      <c r="AA38" s="1240">
        <f>SUM(AA39,AA44,AA47)</f>
        <v>0</v>
      </c>
      <c r="AB38" s="1240">
        <f>SUM(AB39,AB44,AB47)</f>
        <v>0</v>
      </c>
      <c r="AC38" s="1240">
        <f>SUM(AC39,AC44,AC47)</f>
        <v>0</v>
      </c>
      <c r="AD38" s="1240">
        <f>SUM(AD39,AD44,AD47)</f>
        <v>0</v>
      </c>
      <c r="AE38" s="1240">
        <f>SUM(AE39,AE44,AE47)</f>
        <v>0</v>
      </c>
      <c r="AF38" s="1240">
        <f>SUM(AF39,AF44,AF47)</f>
        <v>0</v>
      </c>
      <c r="AG38" s="1240">
        <f>SUM(AG39,AG44,AG47)</f>
        <v>0</v>
      </c>
      <c r="AH38" s="1240">
        <f>SUM(AH39,AH44,AH47)</f>
        <v>0</v>
      </c>
      <c r="AI38" s="1240">
        <f>SUM(AI39,AI44,AI47)</f>
        <v>0</v>
      </c>
      <c r="AJ38" s="1240">
        <f>SUM(AJ39,AJ44,AJ47)</f>
        <v>0</v>
      </c>
      <c r="AK38" s="2430"/>
      <c r="AL38" s="1240">
        <f>SUM(AM38:AW38)</f>
        <v>0</v>
      </c>
      <c r="AM38" s="1240">
        <f>SUM(AM39,AM44,AM47)</f>
        <v>0</v>
      </c>
      <c r="AN38" s="1240">
        <f>SUM(AN39,AN44,AN47)</f>
        <v>0</v>
      </c>
      <c r="AO38" s="1240">
        <f>SUM(AO39,AO44,AO47)</f>
        <v>0</v>
      </c>
      <c r="AP38" s="1240">
        <f>SUM(AP39,AP44,AP47)</f>
        <v>0</v>
      </c>
      <c r="AQ38" s="1240">
        <f>SUM(AQ39,AQ44,AQ47)</f>
        <v>0</v>
      </c>
      <c r="AR38" s="1240">
        <f>SUM(AR39,AR44,AR47)</f>
        <v>0</v>
      </c>
      <c r="AS38" s="1240">
        <f>SUM(AS39,AS44,AS47)</f>
        <v>0</v>
      </c>
      <c r="AT38" s="1240">
        <f>SUM(AT39,AT44,AT47)</f>
        <v>0</v>
      </c>
      <c r="AU38" s="1240">
        <f>SUM(AU39,AU44,AU47)</f>
        <v>0</v>
      </c>
      <c r="AV38" s="1240">
        <f>SUM(AV39,AV44,AV47)</f>
        <v>0</v>
      </c>
      <c r="AW38" s="2430"/>
      <c r="AX38" s="1238"/>
      <c r="BJ38" s="1159">
        <v>23</v>
      </c>
    </row>
    <row customHeight="1" ht="11.549999999999999">
      <c r="F39" s="1234" t="s">
        <v>1335</v>
      </c>
      <c r="G39" s="1241" t="s">
        <v>1334</v>
      </c>
      <c r="H39" s="1240">
        <f>SUM(I39:J39)</f>
        <v>0</v>
      </c>
      <c r="I39" s="1240">
        <f>SUM(I40:I43)</f>
        <v>0</v>
      </c>
      <c r="J39" s="1229"/>
      <c r="K39" s="1240">
        <f>SUM(L39:AK39)</f>
        <v>0</v>
      </c>
      <c r="L39" s="1240">
        <f>SUM(L40:L43)</f>
        <v>0</v>
      </c>
      <c r="M39" s="1240">
        <f>SUM(M40:M43)</f>
        <v>0</v>
      </c>
      <c r="N39" s="1240">
        <f>SUM(N40:N43)</f>
        <v>0</v>
      </c>
      <c r="O39" s="1240">
        <f>SUM(O40:O43)</f>
        <v>0</v>
      </c>
      <c r="P39" s="1240">
        <f>SUM(P40:P43)</f>
        <v>0</v>
      </c>
      <c r="Q39" s="1240">
        <f>SUM(Q40:Q43)</f>
        <v>0</v>
      </c>
      <c r="R39" s="1240">
        <f>SUM(R40:R43)</f>
        <v>0</v>
      </c>
      <c r="S39" s="1240">
        <f>SUM(S40:S43)</f>
        <v>0</v>
      </c>
      <c r="T39" s="1240">
        <f>SUM(T40:T43)</f>
        <v>0</v>
      </c>
      <c r="U39" s="1240">
        <f>SUM(U40:U43)</f>
        <v>0</v>
      </c>
      <c r="V39" s="1240">
        <f>SUM(V40:V43)</f>
        <v>0</v>
      </c>
      <c r="W39" s="1240">
        <f>SUM(W40:W43)</f>
        <v>0</v>
      </c>
      <c r="X39" s="1240">
        <f>SUM(X40:X43)</f>
        <v>0</v>
      </c>
      <c r="Y39" s="1240">
        <f>SUM(Y40:Y43)</f>
        <v>0</v>
      </c>
      <c r="Z39" s="1240">
        <f>SUM(Z40:Z43)</f>
        <v>0</v>
      </c>
      <c r="AA39" s="1240">
        <f>SUM(AA40:AA43)</f>
        <v>0</v>
      </c>
      <c r="AB39" s="1240">
        <f>SUM(AB40:AB43)</f>
        <v>0</v>
      </c>
      <c r="AC39" s="1240">
        <f>SUM(AC40:AC43)</f>
        <v>0</v>
      </c>
      <c r="AD39" s="1240">
        <f>SUM(AD40:AD43)</f>
        <v>0</v>
      </c>
      <c r="AE39" s="1240">
        <f>SUM(AE40:AE43)</f>
        <v>0</v>
      </c>
      <c r="AF39" s="1240">
        <f>SUM(AF40:AF43)</f>
        <v>0</v>
      </c>
      <c r="AG39" s="1240">
        <f>SUM(AG40:AG43)</f>
        <v>0</v>
      </c>
      <c r="AH39" s="1240">
        <f>SUM(AH40:AH43)</f>
        <v>0</v>
      </c>
      <c r="AI39" s="1240">
        <f>SUM(AI40:AI43)</f>
        <v>0</v>
      </c>
      <c r="AJ39" s="1240">
        <f>SUM(AJ40:AJ43)</f>
        <v>0</v>
      </c>
      <c r="AK39" s="2430"/>
      <c r="AL39" s="1240">
        <f>SUM(AM39:AW39)</f>
        <v>0</v>
      </c>
      <c r="AM39" s="1240">
        <f>SUM(AM40:AM43)</f>
        <v>0</v>
      </c>
      <c r="AN39" s="1240">
        <f>SUM(AN40:AN43)</f>
        <v>0</v>
      </c>
      <c r="AO39" s="1240">
        <f>SUM(AO40:AO43)</f>
        <v>0</v>
      </c>
      <c r="AP39" s="1240">
        <f>SUM(AP40:AP43)</f>
        <v>0</v>
      </c>
      <c r="AQ39" s="1240">
        <f>SUM(AQ40:AQ43)</f>
        <v>0</v>
      </c>
      <c r="AR39" s="1240">
        <f>SUM(AR40:AR43)</f>
        <v>0</v>
      </c>
      <c r="AS39" s="1240">
        <f>SUM(AS40:AS43)</f>
        <v>0</v>
      </c>
      <c r="AT39" s="1240">
        <f>SUM(AT40:AT43)</f>
        <v>0</v>
      </c>
      <c r="AU39" s="1240">
        <f>SUM(AU40:AU43)</f>
        <v>0</v>
      </c>
      <c r="AV39" s="1240">
        <f>SUM(AV40:AV43)</f>
        <v>0</v>
      </c>
      <c r="AW39" s="2430"/>
      <c r="AX39" s="1238"/>
      <c r="BJ39" s="1159">
        <v>11</v>
      </c>
    </row>
    <row customHeight="1" ht="24">
      <c r="F40" s="1234" t="s">
        <v>1371</v>
      </c>
      <c r="G40" s="1242" t="s">
        <v>1372</v>
      </c>
      <c r="H40" s="1240">
        <f>SUM(I40:J40)</f>
        <v>0</v>
      </c>
      <c r="I40" s="1239"/>
      <c r="J40" s="1229"/>
      <c r="K40" s="1240">
        <f>SUM(L40:AK40)</f>
        <v>0</v>
      </c>
      <c r="L40" s="1239"/>
      <c r="M40" s="1239"/>
      <c r="N40" s="1239"/>
      <c r="O40" s="1239"/>
      <c r="P40" s="1239"/>
      <c r="Q40" s="1239"/>
      <c r="R40" s="1239"/>
      <c r="S40" s="1239"/>
      <c r="T40" s="1239"/>
      <c r="U40" s="1239"/>
      <c r="V40" s="1239"/>
      <c r="W40" s="1239"/>
      <c r="X40" s="1239"/>
      <c r="Y40" s="1239"/>
      <c r="Z40" s="1239"/>
      <c r="AA40" s="1239"/>
      <c r="AB40" s="1239"/>
      <c r="AC40" s="1239"/>
      <c r="AD40" s="1239"/>
      <c r="AE40" s="1239"/>
      <c r="AF40" s="1239"/>
      <c r="AG40" s="1239"/>
      <c r="AH40" s="1239"/>
      <c r="AI40" s="1239"/>
      <c r="AJ40" s="1239"/>
      <c r="AK40" s="2430"/>
      <c r="AL40" s="1240">
        <f>SUM(AM40:AW40)</f>
        <v>0</v>
      </c>
      <c r="AM40" s="1239"/>
      <c r="AN40" s="1239"/>
      <c r="AO40" s="1239"/>
      <c r="AP40" s="1239"/>
      <c r="AQ40" s="1239"/>
      <c r="AR40" s="1239"/>
      <c r="AS40" s="1239"/>
      <c r="AT40" s="1239"/>
      <c r="AU40" s="1239"/>
      <c r="AV40" s="1239"/>
      <c r="AW40" s="2430"/>
      <c r="AX40" s="1238"/>
      <c r="BJ40" s="1159">
        <v>23</v>
      </c>
    </row>
    <row customHeight="1" ht="11.549999999999999">
      <c r="F41" s="1234" t="s">
        <v>1373</v>
      </c>
      <c r="G41" s="1242" t="s">
        <v>1374</v>
      </c>
      <c r="H41" s="1240">
        <f>SUM(I41:J41)</f>
        <v>0</v>
      </c>
      <c r="I41" s="1239"/>
      <c r="J41" s="1229"/>
      <c r="K41" s="1240">
        <f>SUM(L41:AK41)</f>
        <v>0</v>
      </c>
      <c r="L41" s="1239"/>
      <c r="M41" s="1239"/>
      <c r="N41" s="1239"/>
      <c r="O41" s="1239"/>
      <c r="P41" s="1239"/>
      <c r="Q41" s="1239"/>
      <c r="R41" s="1239"/>
      <c r="S41" s="1239"/>
      <c r="T41" s="1239"/>
      <c r="U41" s="1239"/>
      <c r="V41" s="1239"/>
      <c r="W41" s="1239"/>
      <c r="X41" s="1239"/>
      <c r="Y41" s="1239"/>
      <c r="Z41" s="1239"/>
      <c r="AA41" s="1239"/>
      <c r="AB41" s="1239"/>
      <c r="AC41" s="1239"/>
      <c r="AD41" s="1239"/>
      <c r="AE41" s="1239"/>
      <c r="AF41" s="1239"/>
      <c r="AG41" s="1239"/>
      <c r="AH41" s="1239"/>
      <c r="AI41" s="1239"/>
      <c r="AJ41" s="1239"/>
      <c r="AK41" s="2430"/>
      <c r="AL41" s="1240">
        <f>SUM(AM41:AW41)</f>
        <v>0</v>
      </c>
      <c r="AM41" s="1239"/>
      <c r="AN41" s="1239"/>
      <c r="AO41" s="1239"/>
      <c r="AP41" s="1239"/>
      <c r="AQ41" s="1239"/>
      <c r="AR41" s="1239"/>
      <c r="AS41" s="1239"/>
      <c r="AT41" s="1239"/>
      <c r="AU41" s="1239"/>
      <c r="AV41" s="1239"/>
      <c r="AW41" s="2430"/>
      <c r="AX41" s="1238"/>
      <c r="BJ41" s="1159">
        <v>11</v>
      </c>
    </row>
    <row customHeight="1" ht="11.549999999999999">
      <c r="F42" s="1234" t="s">
        <v>1375</v>
      </c>
      <c r="G42" s="1242" t="s">
        <v>1376</v>
      </c>
      <c r="H42" s="1240">
        <f>SUM(I42:J42)</f>
        <v>0</v>
      </c>
      <c r="I42" s="1239"/>
      <c r="J42" s="1229"/>
      <c r="K42" s="1240">
        <f>SUM(L42:AK42)</f>
        <v>0</v>
      </c>
      <c r="L42" s="1239"/>
      <c r="M42" s="1239"/>
      <c r="N42" s="1239"/>
      <c r="O42" s="1239"/>
      <c r="P42" s="1239"/>
      <c r="Q42" s="1239"/>
      <c r="R42" s="1239"/>
      <c r="S42" s="1239"/>
      <c r="T42" s="1239"/>
      <c r="U42" s="1239"/>
      <c r="V42" s="1239"/>
      <c r="W42" s="1239"/>
      <c r="X42" s="1239"/>
      <c r="Y42" s="1239"/>
      <c r="Z42" s="1239"/>
      <c r="AA42" s="1239"/>
      <c r="AB42" s="1239"/>
      <c r="AC42" s="1239"/>
      <c r="AD42" s="1239"/>
      <c r="AE42" s="1239"/>
      <c r="AF42" s="1239"/>
      <c r="AG42" s="1239"/>
      <c r="AH42" s="1239"/>
      <c r="AI42" s="1239"/>
      <c r="AJ42" s="1239"/>
      <c r="AK42" s="2430"/>
      <c r="AL42" s="1240">
        <f>SUM(AM42:AW42)</f>
        <v>0</v>
      </c>
      <c r="AM42" s="1239"/>
      <c r="AN42" s="1239"/>
      <c r="AO42" s="1239"/>
      <c r="AP42" s="1239"/>
      <c r="AQ42" s="1239"/>
      <c r="AR42" s="1239"/>
      <c r="AS42" s="1239"/>
      <c r="AT42" s="1239"/>
      <c r="AU42" s="1239"/>
      <c r="AV42" s="1239"/>
      <c r="AW42" s="2430"/>
      <c r="AX42" s="1238"/>
      <c r="BJ42" s="1159">
        <v>11</v>
      </c>
    </row>
    <row customHeight="1" ht="35.699999999999996">
      <c r="F43" s="1234" t="s">
        <v>1377</v>
      </c>
      <c r="G43" s="1242" t="s">
        <v>1378</v>
      </c>
      <c r="H43" s="1240">
        <f>SUM(I43:J43)</f>
        <v>0</v>
      </c>
      <c r="I43" s="1239"/>
      <c r="J43" s="1229"/>
      <c r="K43" s="1240">
        <f>SUM(L43:AK43)</f>
        <v>0</v>
      </c>
      <c r="L43" s="1239"/>
      <c r="M43" s="1239"/>
      <c r="N43" s="1239"/>
      <c r="O43" s="1239"/>
      <c r="P43" s="1239"/>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2430"/>
      <c r="AL43" s="1240">
        <f>SUM(AM43:AW43)</f>
        <v>0</v>
      </c>
      <c r="AM43" s="1239"/>
      <c r="AN43" s="1239"/>
      <c r="AO43" s="1239"/>
      <c r="AP43" s="1239"/>
      <c r="AQ43" s="1239"/>
      <c r="AR43" s="1239"/>
      <c r="AS43" s="1239"/>
      <c r="AT43" s="1239"/>
      <c r="AU43" s="1239"/>
      <c r="AV43" s="1239"/>
      <c r="AW43" s="2430"/>
      <c r="AX43" s="1238"/>
      <c r="BJ43" s="1159">
        <v>34</v>
      </c>
    </row>
    <row customHeight="1" ht="11.549999999999999">
      <c r="F44" s="1234" t="s">
        <v>1337</v>
      </c>
      <c r="G44" s="1241" t="s">
        <v>1363</v>
      </c>
      <c r="H44" s="1240">
        <f>SUM(I44:J44)</f>
        <v>0</v>
      </c>
      <c r="I44" s="1240">
        <f>SUM(I45:I46)</f>
        <v>0</v>
      </c>
      <c r="J44" s="1229"/>
      <c r="K44" s="1240">
        <f>SUM(L44:AK44)</f>
        <v>0</v>
      </c>
      <c r="L44" s="1240">
        <f>SUM(L45:L46)</f>
        <v>0</v>
      </c>
      <c r="M44" s="1240">
        <f>SUM(M45:M46)</f>
        <v>0</v>
      </c>
      <c r="N44" s="1240">
        <f>SUM(N45:N46)</f>
        <v>0</v>
      </c>
      <c r="O44" s="1240">
        <f>SUM(O45:O46)</f>
        <v>0</v>
      </c>
      <c r="P44" s="1240">
        <f>SUM(P45:P46)</f>
        <v>0</v>
      </c>
      <c r="Q44" s="1240">
        <f>SUM(Q45:Q46)</f>
        <v>0</v>
      </c>
      <c r="R44" s="1240">
        <f>SUM(R45:R46)</f>
        <v>0</v>
      </c>
      <c r="S44" s="1240">
        <f>SUM(S45:S46)</f>
        <v>0</v>
      </c>
      <c r="T44" s="1240">
        <f>SUM(T45:T46)</f>
        <v>0</v>
      </c>
      <c r="U44" s="1240">
        <f>SUM(U45:U46)</f>
        <v>0</v>
      </c>
      <c r="V44" s="1240">
        <f>SUM(V45:V46)</f>
        <v>0</v>
      </c>
      <c r="W44" s="1240">
        <f>SUM(W45:W46)</f>
        <v>0</v>
      </c>
      <c r="X44" s="1240">
        <f>SUM(X45:X46)</f>
        <v>0</v>
      </c>
      <c r="Y44" s="1240">
        <f>SUM(Y45:Y46)</f>
        <v>0</v>
      </c>
      <c r="Z44" s="1240">
        <f>SUM(Z45:Z46)</f>
        <v>0</v>
      </c>
      <c r="AA44" s="1240">
        <f>SUM(AA45:AA46)</f>
        <v>0</v>
      </c>
      <c r="AB44" s="1240">
        <f>SUM(AB45:AB46)</f>
        <v>0</v>
      </c>
      <c r="AC44" s="1240">
        <f>SUM(AC45:AC46)</f>
        <v>0</v>
      </c>
      <c r="AD44" s="1240">
        <f>SUM(AD45:AD46)</f>
        <v>0</v>
      </c>
      <c r="AE44" s="1240">
        <f>SUM(AE45:AE46)</f>
        <v>0</v>
      </c>
      <c r="AF44" s="1240">
        <f>SUM(AF45:AF46)</f>
        <v>0</v>
      </c>
      <c r="AG44" s="1240">
        <f>SUM(AG45:AG46)</f>
        <v>0</v>
      </c>
      <c r="AH44" s="1240">
        <f>SUM(AH45:AH46)</f>
        <v>0</v>
      </c>
      <c r="AI44" s="1240">
        <f>SUM(AI45:AI46)</f>
        <v>0</v>
      </c>
      <c r="AJ44" s="1240">
        <f>SUM(AJ45:AJ46)</f>
        <v>0</v>
      </c>
      <c r="AK44" s="2430"/>
      <c r="AL44" s="1240">
        <f>SUM(AM44:AW44)</f>
        <v>0</v>
      </c>
      <c r="AM44" s="1240">
        <f>SUM(AM45:AM46)</f>
        <v>0</v>
      </c>
      <c r="AN44" s="1240">
        <f>SUM(AN45:AN46)</f>
        <v>0</v>
      </c>
      <c r="AO44" s="1240">
        <f>SUM(AO45:AO46)</f>
        <v>0</v>
      </c>
      <c r="AP44" s="1240">
        <f>SUM(AP45:AP46)</f>
        <v>0</v>
      </c>
      <c r="AQ44" s="1240">
        <f>SUM(AQ45:AQ46)</f>
        <v>0</v>
      </c>
      <c r="AR44" s="1240">
        <f>SUM(AR45:AR46)</f>
        <v>0</v>
      </c>
      <c r="AS44" s="1240">
        <f>SUM(AS45:AS46)</f>
        <v>0</v>
      </c>
      <c r="AT44" s="1240">
        <f>SUM(AT45:AT46)</f>
        <v>0</v>
      </c>
      <c r="AU44" s="1240">
        <f>SUM(AU45:AU46)</f>
        <v>0</v>
      </c>
      <c r="AV44" s="1240">
        <f>SUM(AV45:AV46)</f>
        <v>0</v>
      </c>
      <c r="AW44" s="2430"/>
      <c r="AX44" s="1238"/>
      <c r="BJ44" s="1159">
        <v>11</v>
      </c>
    </row>
    <row customHeight="1" ht="48.29999999999999">
      <c r="F45" s="1234" t="s">
        <v>1379</v>
      </c>
      <c r="G45" s="1242" t="s">
        <v>1364</v>
      </c>
      <c r="H45" s="1240">
        <f>SUM(I45:J45)</f>
        <v>0</v>
      </c>
      <c r="I45" s="1239"/>
      <c r="J45" s="1229"/>
      <c r="K45" s="1240">
        <f>SUM(L45:AK45)</f>
        <v>0</v>
      </c>
      <c r="L45" s="1239"/>
      <c r="M45" s="1239"/>
      <c r="N45" s="1239"/>
      <c r="O45" s="1239"/>
      <c r="P45" s="1239"/>
      <c r="Q45" s="1239"/>
      <c r="R45" s="1239"/>
      <c r="S45" s="1239"/>
      <c r="T45" s="1239"/>
      <c r="U45" s="1239"/>
      <c r="V45" s="1239"/>
      <c r="W45" s="1239"/>
      <c r="X45" s="1239"/>
      <c r="Y45" s="1239"/>
      <c r="Z45" s="1239"/>
      <c r="AA45" s="1239"/>
      <c r="AB45" s="1239"/>
      <c r="AC45" s="1239"/>
      <c r="AD45" s="1239"/>
      <c r="AE45" s="1239"/>
      <c r="AF45" s="1239"/>
      <c r="AG45" s="1239"/>
      <c r="AH45" s="1239"/>
      <c r="AI45" s="1239"/>
      <c r="AJ45" s="1239"/>
      <c r="AK45" s="2430"/>
      <c r="AL45" s="1240">
        <f>SUM(AM45:AW45)</f>
        <v>0</v>
      </c>
      <c r="AM45" s="1239"/>
      <c r="AN45" s="1239"/>
      <c r="AO45" s="1239"/>
      <c r="AP45" s="1239"/>
      <c r="AQ45" s="1239"/>
      <c r="AR45" s="1239"/>
      <c r="AS45" s="1239"/>
      <c r="AT45" s="1239"/>
      <c r="AU45" s="1239"/>
      <c r="AV45" s="1239"/>
      <c r="AW45" s="2430"/>
      <c r="AX45" s="1238"/>
      <c r="BJ45" s="1159">
        <v>46</v>
      </c>
    </row>
    <row customHeight="1" ht="11.549999999999999">
      <c r="F46" s="1234" t="s">
        <v>1380</v>
      </c>
      <c r="G46" s="1242" t="s">
        <v>1365</v>
      </c>
      <c r="H46" s="1240">
        <f>SUM(I46:J46)</f>
        <v>0</v>
      </c>
      <c r="I46" s="1239"/>
      <c r="J46" s="1229"/>
      <c r="K46" s="1240">
        <f>SUM(L46:AK46)</f>
        <v>0</v>
      </c>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2430"/>
      <c r="AL46" s="1240">
        <f>SUM(AM46:AW46)</f>
        <v>0</v>
      </c>
      <c r="AM46" s="1239"/>
      <c r="AN46" s="1239"/>
      <c r="AO46" s="1239"/>
      <c r="AP46" s="1239"/>
      <c r="AQ46" s="1239"/>
      <c r="AR46" s="1239"/>
      <c r="AS46" s="1239"/>
      <c r="AT46" s="1239"/>
      <c r="AU46" s="1239"/>
      <c r="AV46" s="1239"/>
      <c r="AW46" s="2430"/>
      <c r="AX46" s="1238"/>
      <c r="BJ46" s="1159">
        <v>11</v>
      </c>
    </row>
    <row customHeight="1" ht="11.549999999999999">
      <c r="F47" s="1234" t="s">
        <v>1339</v>
      </c>
      <c r="G47" s="1241" t="s">
        <v>1381</v>
      </c>
      <c r="H47" s="1240">
        <f>SUM(I47:J47)</f>
        <v>0</v>
      </c>
      <c r="I47" s="1239"/>
      <c r="J47" s="1229"/>
      <c r="K47" s="1240">
        <f>SUM(L47:AK47)</f>
        <v>0</v>
      </c>
      <c r="L47" s="1239"/>
      <c r="M47" s="1239"/>
      <c r="N47" s="1239"/>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2430"/>
      <c r="AL47" s="1240">
        <f>SUM(AM47:AW47)</f>
        <v>0</v>
      </c>
      <c r="AM47" s="1239"/>
      <c r="AN47" s="1239"/>
      <c r="AO47" s="1239"/>
      <c r="AP47" s="1239"/>
      <c r="AQ47" s="1239"/>
      <c r="AR47" s="1239"/>
      <c r="AS47" s="1239"/>
      <c r="AT47" s="1239"/>
      <c r="AU47" s="1239"/>
      <c r="AV47" s="1239"/>
      <c r="AW47" s="2430"/>
      <c r="AX47" s="1238"/>
      <c r="BJ47" s="1159">
        <v>11</v>
      </c>
    </row>
    <row customHeight="1" ht="24">
      <c r="F48" s="1234" t="s">
        <v>103</v>
      </c>
      <c r="G48" s="694" t="s">
        <v>1382</v>
      </c>
      <c r="H48" s="1240">
        <f>SUM(I48:J48)</f>
        <v>0</v>
      </c>
      <c r="I48" s="1240">
        <f>SUM(I49,I54,I57)</f>
        <v>0</v>
      </c>
      <c r="J48" s="1229"/>
      <c r="K48" s="1240">
        <f>SUM(L48:AK48)</f>
        <v>0</v>
      </c>
      <c r="L48" s="1240">
        <f>SUM(L49,L54,L57)</f>
        <v>0</v>
      </c>
      <c r="M48" s="1240">
        <f>SUM(M49,M54,M57)</f>
        <v>0</v>
      </c>
      <c r="N48" s="1240">
        <f>SUM(N49,N54,N57)</f>
        <v>0</v>
      </c>
      <c r="O48" s="1240">
        <f>SUM(O49,O54,O57)</f>
        <v>0</v>
      </c>
      <c r="P48" s="1240">
        <f>SUM(P49,P54,P57)</f>
        <v>0</v>
      </c>
      <c r="Q48" s="1240">
        <f>SUM(Q49,Q54,Q57)</f>
        <v>0</v>
      </c>
      <c r="R48" s="1240">
        <f>SUM(R49,R54,R57)</f>
        <v>0</v>
      </c>
      <c r="S48" s="1240">
        <f>SUM(S49,S54,S57)</f>
        <v>0</v>
      </c>
      <c r="T48" s="1240">
        <f>SUM(T49,T54,T57)</f>
        <v>0</v>
      </c>
      <c r="U48" s="1240">
        <f>SUM(U49,U54,U57)</f>
        <v>0</v>
      </c>
      <c r="V48" s="1240">
        <f>SUM(V49,V54,V57)</f>
        <v>0</v>
      </c>
      <c r="W48" s="1240">
        <f>SUM(W49,W54,W57)</f>
        <v>0</v>
      </c>
      <c r="X48" s="1240">
        <f>SUM(X49,X54,X57)</f>
        <v>0</v>
      </c>
      <c r="Y48" s="1240">
        <f>SUM(Y49,Y54,Y57)</f>
        <v>0</v>
      </c>
      <c r="Z48" s="1240">
        <f>SUM(Z49,Z54,Z57)</f>
        <v>0</v>
      </c>
      <c r="AA48" s="1240">
        <f>SUM(AA49,AA54,AA57)</f>
        <v>0</v>
      </c>
      <c r="AB48" s="1240">
        <f>SUM(AB49,AB54,AB57)</f>
        <v>0</v>
      </c>
      <c r="AC48" s="1240">
        <f>SUM(AC49,AC54,AC57)</f>
        <v>0</v>
      </c>
      <c r="AD48" s="1240">
        <f>SUM(AD49,AD54,AD57)</f>
        <v>0</v>
      </c>
      <c r="AE48" s="1240">
        <f>SUM(AE49,AE54,AE57)</f>
        <v>0</v>
      </c>
      <c r="AF48" s="1240">
        <f>SUM(AF49,AF54,AF57)</f>
        <v>0</v>
      </c>
      <c r="AG48" s="1240">
        <f>SUM(AG49,AG54,AG57)</f>
        <v>0</v>
      </c>
      <c r="AH48" s="1240">
        <f>SUM(AH49,AH54,AH57)</f>
        <v>0</v>
      </c>
      <c r="AI48" s="1240">
        <f>SUM(AI49,AI54,AI57)</f>
        <v>0</v>
      </c>
      <c r="AJ48" s="1240">
        <f>SUM(AJ49,AJ54,AJ57)</f>
        <v>0</v>
      </c>
      <c r="AK48" s="2430"/>
      <c r="AL48" s="1240">
        <f>SUM(AM48:AW48)</f>
        <v>0</v>
      </c>
      <c r="AM48" s="1240">
        <f>SUM(AM49,AM54,AM57)</f>
        <v>0</v>
      </c>
      <c r="AN48" s="1240">
        <f>SUM(AN49,AN54,AN57)</f>
        <v>0</v>
      </c>
      <c r="AO48" s="1240">
        <f>SUM(AO49,AO54,AO57)</f>
        <v>0</v>
      </c>
      <c r="AP48" s="1240">
        <f>SUM(AP49,AP54,AP57)</f>
        <v>0</v>
      </c>
      <c r="AQ48" s="1240">
        <f>SUM(AQ49,AQ54,AQ57)</f>
        <v>0</v>
      </c>
      <c r="AR48" s="1240">
        <f>SUM(AR49,AR54,AR57)</f>
        <v>0</v>
      </c>
      <c r="AS48" s="1240">
        <f>SUM(AS49,AS54,AS57)</f>
        <v>0</v>
      </c>
      <c r="AT48" s="1240">
        <f>SUM(AT49,AT54,AT57)</f>
        <v>0</v>
      </c>
      <c r="AU48" s="1240">
        <f>SUM(AU49,AU54,AU57)</f>
        <v>0</v>
      </c>
      <c r="AV48" s="1240">
        <f>SUM(AV49,AV54,AV57)</f>
        <v>0</v>
      </c>
      <c r="AW48" s="2430"/>
      <c r="AX48" s="1238"/>
      <c r="BJ48" s="1159">
        <v>23</v>
      </c>
    </row>
    <row customHeight="1" ht="11.549999999999999">
      <c r="F49" s="1234" t="s">
        <v>969</v>
      </c>
      <c r="G49" s="1241" t="s">
        <v>1334</v>
      </c>
      <c r="H49" s="1240">
        <f>SUM(I49:J49)</f>
        <v>0</v>
      </c>
      <c r="I49" s="1240">
        <f>SUM(I50:I53)</f>
        <v>0</v>
      </c>
      <c r="J49" s="1229"/>
      <c r="K49" s="1240">
        <f>SUM(L49:AK49)</f>
        <v>0</v>
      </c>
      <c r="L49" s="1240">
        <f>SUM(L50:L53)</f>
        <v>0</v>
      </c>
      <c r="M49" s="1240">
        <f>SUM(M50:M53)</f>
        <v>0</v>
      </c>
      <c r="N49" s="1240">
        <f>SUM(N50:N53)</f>
        <v>0</v>
      </c>
      <c r="O49" s="1240">
        <f>SUM(O50:O53)</f>
        <v>0</v>
      </c>
      <c r="P49" s="1240">
        <f>SUM(P50:P53)</f>
        <v>0</v>
      </c>
      <c r="Q49" s="1240">
        <f>SUM(Q50:Q53)</f>
        <v>0</v>
      </c>
      <c r="R49" s="1240">
        <f>SUM(R50:R53)</f>
        <v>0</v>
      </c>
      <c r="S49" s="1240">
        <f>SUM(S50:S53)</f>
        <v>0</v>
      </c>
      <c r="T49" s="1240">
        <f>SUM(T50:T53)</f>
        <v>0</v>
      </c>
      <c r="U49" s="1240">
        <f>SUM(U50:U53)</f>
        <v>0</v>
      </c>
      <c r="V49" s="1240">
        <f>SUM(V50:V53)</f>
        <v>0</v>
      </c>
      <c r="W49" s="1240">
        <f>SUM(W50:W53)</f>
        <v>0</v>
      </c>
      <c r="X49" s="1240">
        <f>SUM(X50:X53)</f>
        <v>0</v>
      </c>
      <c r="Y49" s="1240">
        <f>SUM(Y50:Y53)</f>
        <v>0</v>
      </c>
      <c r="Z49" s="1240">
        <f>SUM(Z50:Z53)</f>
        <v>0</v>
      </c>
      <c r="AA49" s="1240">
        <f>SUM(AA50:AA53)</f>
        <v>0</v>
      </c>
      <c r="AB49" s="1240">
        <f>SUM(AB50:AB53)</f>
        <v>0</v>
      </c>
      <c r="AC49" s="1240">
        <f>SUM(AC50:AC53)</f>
        <v>0</v>
      </c>
      <c r="AD49" s="1240">
        <f>SUM(AD50:AD53)</f>
        <v>0</v>
      </c>
      <c r="AE49" s="1240">
        <f>SUM(AE50:AE53)</f>
        <v>0</v>
      </c>
      <c r="AF49" s="1240">
        <f>SUM(AF50:AF53)</f>
        <v>0</v>
      </c>
      <c r="AG49" s="1240">
        <f>SUM(AG50:AG53)</f>
        <v>0</v>
      </c>
      <c r="AH49" s="1240">
        <f>SUM(AH50:AH53)</f>
        <v>0</v>
      </c>
      <c r="AI49" s="1240">
        <f>SUM(AI50:AI53)</f>
        <v>0</v>
      </c>
      <c r="AJ49" s="1240">
        <f>SUM(AJ50:AJ53)</f>
        <v>0</v>
      </c>
      <c r="AK49" s="2430"/>
      <c r="AL49" s="1240">
        <f>SUM(AM49:AW49)</f>
        <v>0</v>
      </c>
      <c r="AM49" s="1240">
        <f>SUM(AM50:AM53)</f>
        <v>0</v>
      </c>
      <c r="AN49" s="1240">
        <f>SUM(AN50:AN53)</f>
        <v>0</v>
      </c>
      <c r="AO49" s="1240">
        <f>SUM(AO50:AO53)</f>
        <v>0</v>
      </c>
      <c r="AP49" s="1240">
        <f>SUM(AP50:AP53)</f>
        <v>0</v>
      </c>
      <c r="AQ49" s="1240">
        <f>SUM(AQ50:AQ53)</f>
        <v>0</v>
      </c>
      <c r="AR49" s="1240">
        <f>SUM(AR50:AR53)</f>
        <v>0</v>
      </c>
      <c r="AS49" s="1240">
        <f>SUM(AS50:AS53)</f>
        <v>0</v>
      </c>
      <c r="AT49" s="1240">
        <f>SUM(AT50:AT53)</f>
        <v>0</v>
      </c>
      <c r="AU49" s="1240">
        <f>SUM(AU50:AU53)</f>
        <v>0</v>
      </c>
      <c r="AV49" s="1240">
        <f>SUM(AV50:AV53)</f>
        <v>0</v>
      </c>
      <c r="AW49" s="2430"/>
      <c r="AX49" s="1238"/>
      <c r="BJ49" s="1159">
        <v>11</v>
      </c>
    </row>
    <row customHeight="1" ht="24">
      <c r="F50" s="1234" t="s">
        <v>972</v>
      </c>
      <c r="G50" s="1242" t="s">
        <v>1372</v>
      </c>
      <c r="H50" s="1240">
        <f>SUM(I50:J50)</f>
        <v>0</v>
      </c>
      <c r="I50" s="1239"/>
      <c r="J50" s="1229"/>
      <c r="K50" s="1240">
        <f>SUM(L50:AK50)</f>
        <v>0</v>
      </c>
      <c r="L50" s="1239"/>
      <c r="M50" s="1239"/>
      <c r="N50" s="1239"/>
      <c r="O50" s="1239"/>
      <c r="P50" s="1239"/>
      <c r="Q50" s="1239"/>
      <c r="R50" s="1239"/>
      <c r="S50" s="1239"/>
      <c r="T50" s="1239"/>
      <c r="U50" s="1239"/>
      <c r="V50" s="1239"/>
      <c r="W50" s="1239"/>
      <c r="X50" s="1239"/>
      <c r="Y50" s="1239"/>
      <c r="Z50" s="1239"/>
      <c r="AA50" s="1239"/>
      <c r="AB50" s="1239"/>
      <c r="AC50" s="1239"/>
      <c r="AD50" s="1239"/>
      <c r="AE50" s="1239"/>
      <c r="AF50" s="1239"/>
      <c r="AG50" s="1239"/>
      <c r="AH50" s="1239"/>
      <c r="AI50" s="1239"/>
      <c r="AJ50" s="1239"/>
      <c r="AK50" s="2430"/>
      <c r="AL50" s="1240">
        <f>SUM(AM50:AW50)</f>
        <v>0</v>
      </c>
      <c r="AM50" s="1239"/>
      <c r="AN50" s="1239"/>
      <c r="AO50" s="1239"/>
      <c r="AP50" s="1239"/>
      <c r="AQ50" s="1239"/>
      <c r="AR50" s="1239"/>
      <c r="AS50" s="1239"/>
      <c r="AT50" s="1239"/>
      <c r="AU50" s="1239"/>
      <c r="AV50" s="1239"/>
      <c r="AW50" s="2430"/>
      <c r="AX50" s="1238"/>
      <c r="BJ50" s="1159">
        <v>23</v>
      </c>
    </row>
    <row customHeight="1" ht="11.549999999999999">
      <c r="F51" s="1234" t="s">
        <v>975</v>
      </c>
      <c r="G51" s="1242" t="s">
        <v>1374</v>
      </c>
      <c r="H51" s="1240">
        <f>SUM(I51:J51)</f>
        <v>0</v>
      </c>
      <c r="I51" s="1239"/>
      <c r="J51" s="1229"/>
      <c r="K51" s="1240">
        <f>SUM(L51:AK51)</f>
        <v>0</v>
      </c>
      <c r="L51" s="1239"/>
      <c r="M51" s="1239"/>
      <c r="N51" s="1239"/>
      <c r="O51" s="1239"/>
      <c r="P51" s="1239"/>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2430"/>
      <c r="AL51" s="1240">
        <f>SUM(AM51:AW51)</f>
        <v>0</v>
      </c>
      <c r="AM51" s="1239"/>
      <c r="AN51" s="1239"/>
      <c r="AO51" s="1239"/>
      <c r="AP51" s="1239"/>
      <c r="AQ51" s="1239"/>
      <c r="AR51" s="1239"/>
      <c r="AS51" s="1239"/>
      <c r="AT51" s="1239"/>
      <c r="AU51" s="1239"/>
      <c r="AV51" s="1239"/>
      <c r="AW51" s="2430"/>
      <c r="AX51" s="1238"/>
      <c r="BJ51" s="1159">
        <v>11</v>
      </c>
    </row>
    <row customHeight="1" ht="11.549999999999999">
      <c r="F52" s="1234" t="s">
        <v>1383</v>
      </c>
      <c r="G52" s="1242" t="s">
        <v>1376</v>
      </c>
      <c r="H52" s="1240">
        <f>SUM(I52:J52)</f>
        <v>0</v>
      </c>
      <c r="I52" s="1239"/>
      <c r="J52" s="1229"/>
      <c r="K52" s="1240">
        <f>SUM(L52:AK52)</f>
        <v>0</v>
      </c>
      <c r="L52" s="1239"/>
      <c r="M52" s="1239"/>
      <c r="N52" s="1239"/>
      <c r="O52" s="1239"/>
      <c r="P52" s="1239"/>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2430"/>
      <c r="AL52" s="1240">
        <f>SUM(AM52:AW52)</f>
        <v>0</v>
      </c>
      <c r="AM52" s="1239"/>
      <c r="AN52" s="1239"/>
      <c r="AO52" s="1239"/>
      <c r="AP52" s="1239"/>
      <c r="AQ52" s="1239"/>
      <c r="AR52" s="1239"/>
      <c r="AS52" s="1239"/>
      <c r="AT52" s="1239"/>
      <c r="AU52" s="1239"/>
      <c r="AV52" s="1239"/>
      <c r="AW52" s="2430"/>
      <c r="AX52" s="1238"/>
      <c r="BJ52" s="1159">
        <v>11</v>
      </c>
    </row>
    <row customHeight="1" ht="35.699999999999996">
      <c r="F53" s="1234" t="s">
        <v>1384</v>
      </c>
      <c r="G53" s="1242" t="s">
        <v>1378</v>
      </c>
      <c r="H53" s="1240">
        <f>SUM(I53:J53)</f>
        <v>0</v>
      </c>
      <c r="I53" s="1239"/>
      <c r="J53" s="1229"/>
      <c r="K53" s="1240">
        <f>SUM(L53:AK53)</f>
        <v>0</v>
      </c>
      <c r="L53" s="1239"/>
      <c r="M53" s="1239"/>
      <c r="N53" s="1239"/>
      <c r="O53" s="1239"/>
      <c r="P53" s="1239"/>
      <c r="Q53" s="1239"/>
      <c r="R53" s="1239"/>
      <c r="S53" s="1239"/>
      <c r="T53" s="1239"/>
      <c r="U53" s="1239"/>
      <c r="V53" s="1239"/>
      <c r="W53" s="1239"/>
      <c r="X53" s="1239"/>
      <c r="Y53" s="1239"/>
      <c r="Z53" s="1239"/>
      <c r="AA53" s="1239"/>
      <c r="AB53" s="1239"/>
      <c r="AC53" s="1239"/>
      <c r="AD53" s="1239"/>
      <c r="AE53" s="1239"/>
      <c r="AF53" s="1239"/>
      <c r="AG53" s="1239"/>
      <c r="AH53" s="1239"/>
      <c r="AI53" s="1239"/>
      <c r="AJ53" s="1239"/>
      <c r="AK53" s="2430"/>
      <c r="AL53" s="1240">
        <f>SUM(AM53:AW53)</f>
        <v>0</v>
      </c>
      <c r="AM53" s="1239"/>
      <c r="AN53" s="1239"/>
      <c r="AO53" s="1239"/>
      <c r="AP53" s="1239"/>
      <c r="AQ53" s="1239"/>
      <c r="AR53" s="1239"/>
      <c r="AS53" s="1239"/>
      <c r="AT53" s="1239"/>
      <c r="AU53" s="1239"/>
      <c r="AV53" s="1239"/>
      <c r="AW53" s="2430"/>
      <c r="AX53" s="1238"/>
      <c r="BJ53" s="1159">
        <v>34</v>
      </c>
    </row>
    <row customHeight="1" ht="11.549999999999999">
      <c r="F54" s="1234" t="s">
        <v>325</v>
      </c>
      <c r="G54" s="1241" t="s">
        <v>1363</v>
      </c>
      <c r="H54" s="1240">
        <f>SUM(I54:J54)</f>
        <v>0</v>
      </c>
      <c r="I54" s="1240">
        <f>SUM(I55:I56)</f>
        <v>0</v>
      </c>
      <c r="J54" s="1229"/>
      <c r="K54" s="1240">
        <f>SUM(L54:AK54)</f>
        <v>0</v>
      </c>
      <c r="L54" s="1240">
        <f>SUM(L55:L56)</f>
        <v>0</v>
      </c>
      <c r="M54" s="1240">
        <f>SUM(M55:M56)</f>
        <v>0</v>
      </c>
      <c r="N54" s="1240">
        <f>SUM(N55:N56)</f>
        <v>0</v>
      </c>
      <c r="O54" s="1240">
        <f>SUM(O55:O56)</f>
        <v>0</v>
      </c>
      <c r="P54" s="1240">
        <f>SUM(P55:P56)</f>
        <v>0</v>
      </c>
      <c r="Q54" s="1240">
        <f>SUM(Q55:Q56)</f>
        <v>0</v>
      </c>
      <c r="R54" s="1240">
        <f>SUM(R55:R56)</f>
        <v>0</v>
      </c>
      <c r="S54" s="1240">
        <f>SUM(S55:S56)</f>
        <v>0</v>
      </c>
      <c r="T54" s="1240">
        <f>SUM(T55:T56)</f>
        <v>0</v>
      </c>
      <c r="U54" s="1240">
        <f>SUM(U55:U56)</f>
        <v>0</v>
      </c>
      <c r="V54" s="1240">
        <f>SUM(V55:V56)</f>
        <v>0</v>
      </c>
      <c r="W54" s="1240">
        <f>SUM(W55:W56)</f>
        <v>0</v>
      </c>
      <c r="X54" s="1240">
        <f>SUM(X55:X56)</f>
        <v>0</v>
      </c>
      <c r="Y54" s="1240">
        <f>SUM(Y55:Y56)</f>
        <v>0</v>
      </c>
      <c r="Z54" s="1240">
        <f>SUM(Z55:Z56)</f>
        <v>0</v>
      </c>
      <c r="AA54" s="1240">
        <f>SUM(AA55:AA56)</f>
        <v>0</v>
      </c>
      <c r="AB54" s="1240">
        <f>SUM(AB55:AB56)</f>
        <v>0</v>
      </c>
      <c r="AC54" s="1240">
        <f>SUM(AC55:AC56)</f>
        <v>0</v>
      </c>
      <c r="AD54" s="1240">
        <f>SUM(AD55:AD56)</f>
        <v>0</v>
      </c>
      <c r="AE54" s="1240">
        <f>SUM(AE55:AE56)</f>
        <v>0</v>
      </c>
      <c r="AF54" s="1240">
        <f>SUM(AF55:AF56)</f>
        <v>0</v>
      </c>
      <c r="AG54" s="1240">
        <f>SUM(AG55:AG56)</f>
        <v>0</v>
      </c>
      <c r="AH54" s="1240">
        <f>SUM(AH55:AH56)</f>
        <v>0</v>
      </c>
      <c r="AI54" s="1240">
        <f>SUM(AI55:AI56)</f>
        <v>0</v>
      </c>
      <c r="AJ54" s="1240">
        <f>SUM(AJ55:AJ56)</f>
        <v>0</v>
      </c>
      <c r="AK54" s="2430"/>
      <c r="AL54" s="1240">
        <f>SUM(AM54:AW54)</f>
        <v>0</v>
      </c>
      <c r="AM54" s="1240">
        <f>SUM(AM55:AM56)</f>
        <v>0</v>
      </c>
      <c r="AN54" s="1240">
        <f>SUM(AN55:AN56)</f>
        <v>0</v>
      </c>
      <c r="AO54" s="1240">
        <f>SUM(AO55:AO56)</f>
        <v>0</v>
      </c>
      <c r="AP54" s="1240">
        <f>SUM(AP55:AP56)</f>
        <v>0</v>
      </c>
      <c r="AQ54" s="1240">
        <f>SUM(AQ55:AQ56)</f>
        <v>0</v>
      </c>
      <c r="AR54" s="1240">
        <f>SUM(AR55:AR56)</f>
        <v>0</v>
      </c>
      <c r="AS54" s="1240">
        <f>SUM(AS55:AS56)</f>
        <v>0</v>
      </c>
      <c r="AT54" s="1240">
        <f>SUM(AT55:AT56)</f>
        <v>0</v>
      </c>
      <c r="AU54" s="1240">
        <f>SUM(AU55:AU56)</f>
        <v>0</v>
      </c>
      <c r="AV54" s="1240">
        <f>SUM(AV55:AV56)</f>
        <v>0</v>
      </c>
      <c r="AW54" s="2430"/>
      <c r="AX54" s="1238"/>
      <c r="BJ54" s="1159">
        <v>11</v>
      </c>
    </row>
    <row customHeight="1" ht="48.29999999999999">
      <c r="F55" s="1234" t="s">
        <v>979</v>
      </c>
      <c r="G55" s="1242" t="s">
        <v>1364</v>
      </c>
      <c r="H55" s="1240">
        <f>SUM(I55:J55)</f>
        <v>0</v>
      </c>
      <c r="I55" s="1239"/>
      <c r="J55" s="1229"/>
      <c r="K55" s="1240">
        <f>SUM(L55:AK55)</f>
        <v>0</v>
      </c>
      <c r="L55" s="1239"/>
      <c r="M55" s="1239"/>
      <c r="N55" s="1239"/>
      <c r="O55" s="1239"/>
      <c r="P55" s="1239"/>
      <c r="Q55" s="1239"/>
      <c r="R55" s="1239"/>
      <c r="S55" s="1239"/>
      <c r="T55" s="1239"/>
      <c r="U55" s="1239"/>
      <c r="V55" s="1239"/>
      <c r="W55" s="1239"/>
      <c r="X55" s="1239"/>
      <c r="Y55" s="1239"/>
      <c r="Z55" s="1239"/>
      <c r="AA55" s="1239"/>
      <c r="AB55" s="1239"/>
      <c r="AC55" s="1239"/>
      <c r="AD55" s="1239"/>
      <c r="AE55" s="1239"/>
      <c r="AF55" s="1239"/>
      <c r="AG55" s="1239"/>
      <c r="AH55" s="1239"/>
      <c r="AI55" s="1239"/>
      <c r="AJ55" s="1239"/>
      <c r="AK55" s="2430"/>
      <c r="AL55" s="1240">
        <f>SUM(AM55:AW55)</f>
        <v>0</v>
      </c>
      <c r="AM55" s="1239"/>
      <c r="AN55" s="1239"/>
      <c r="AO55" s="1239"/>
      <c r="AP55" s="1239"/>
      <c r="AQ55" s="1239"/>
      <c r="AR55" s="1239"/>
      <c r="AS55" s="1239"/>
      <c r="AT55" s="1239"/>
      <c r="AU55" s="1239"/>
      <c r="AV55" s="1239"/>
      <c r="AW55" s="2430"/>
      <c r="AX55" s="1238"/>
      <c r="BJ55" s="1159">
        <v>46</v>
      </c>
    </row>
    <row customHeight="1" ht="11.549999999999999">
      <c r="F56" s="1234" t="s">
        <v>981</v>
      </c>
      <c r="G56" s="1242" t="s">
        <v>1365</v>
      </c>
      <c r="H56" s="1240">
        <f>SUM(I56:J56)</f>
        <v>0</v>
      </c>
      <c r="I56" s="1239"/>
      <c r="J56" s="1229"/>
      <c r="K56" s="1240">
        <f>SUM(L56:AK56)</f>
        <v>0</v>
      </c>
      <c r="L56" s="1239"/>
      <c r="M56" s="1239"/>
      <c r="N56" s="1239"/>
      <c r="O56" s="1239"/>
      <c r="P56" s="1239"/>
      <c r="Q56" s="1239"/>
      <c r="R56" s="1239"/>
      <c r="S56" s="1239"/>
      <c r="T56" s="1239"/>
      <c r="U56" s="1239"/>
      <c r="V56" s="1239"/>
      <c r="W56" s="1239"/>
      <c r="X56" s="1239"/>
      <c r="Y56" s="1239"/>
      <c r="Z56" s="1239"/>
      <c r="AA56" s="1239"/>
      <c r="AB56" s="1239"/>
      <c r="AC56" s="1239"/>
      <c r="AD56" s="1239"/>
      <c r="AE56" s="1239"/>
      <c r="AF56" s="1239"/>
      <c r="AG56" s="1239"/>
      <c r="AH56" s="1239"/>
      <c r="AI56" s="1239"/>
      <c r="AJ56" s="1239"/>
      <c r="AK56" s="2430"/>
      <c r="AL56" s="1240">
        <f>SUM(AM56:AW56)</f>
        <v>0</v>
      </c>
      <c r="AM56" s="1239"/>
      <c r="AN56" s="1239"/>
      <c r="AO56" s="1239"/>
      <c r="AP56" s="1239"/>
      <c r="AQ56" s="1239"/>
      <c r="AR56" s="1239"/>
      <c r="AS56" s="1239"/>
      <c r="AT56" s="1239"/>
      <c r="AU56" s="1239"/>
      <c r="AV56" s="1239"/>
      <c r="AW56" s="2430"/>
      <c r="AX56" s="1238"/>
      <c r="BJ56" s="1159">
        <v>11</v>
      </c>
    </row>
    <row customHeight="1" ht="11.549999999999999">
      <c r="F57" s="1234" t="s">
        <v>328</v>
      </c>
      <c r="G57" s="1241" t="s">
        <v>1381</v>
      </c>
      <c r="H57" s="1240">
        <f>SUM(I57:J57)</f>
        <v>0</v>
      </c>
      <c r="I57" s="1239"/>
      <c r="J57" s="1229"/>
      <c r="K57" s="1240">
        <f>SUM(L57:AK57)</f>
        <v>0</v>
      </c>
      <c r="L57" s="1239"/>
      <c r="M57" s="1239"/>
      <c r="N57" s="1239"/>
      <c r="O57" s="1239"/>
      <c r="P57" s="1239"/>
      <c r="Q57" s="1239"/>
      <c r="R57" s="1239"/>
      <c r="S57" s="1239"/>
      <c r="T57" s="1239"/>
      <c r="U57" s="1239"/>
      <c r="V57" s="1239"/>
      <c r="W57" s="1239"/>
      <c r="X57" s="1239"/>
      <c r="Y57" s="1239"/>
      <c r="Z57" s="1239"/>
      <c r="AA57" s="1239"/>
      <c r="AB57" s="1239"/>
      <c r="AC57" s="1239"/>
      <c r="AD57" s="1239"/>
      <c r="AE57" s="1239"/>
      <c r="AF57" s="1239"/>
      <c r="AG57" s="1239"/>
      <c r="AH57" s="1239"/>
      <c r="AI57" s="1239"/>
      <c r="AJ57" s="1239"/>
      <c r="AK57" s="2430"/>
      <c r="AL57" s="1240">
        <f>SUM(AM57:AW57)</f>
        <v>0</v>
      </c>
      <c r="AM57" s="1239"/>
      <c r="AN57" s="1239"/>
      <c r="AO57" s="1239"/>
      <c r="AP57" s="1239"/>
      <c r="AQ57" s="1239"/>
      <c r="AR57" s="1239"/>
      <c r="AS57" s="1239"/>
      <c r="AT57" s="1239"/>
      <c r="AU57" s="1239"/>
      <c r="AV57" s="1239"/>
      <c r="AW57" s="2430"/>
      <c r="AX57" s="1238"/>
      <c r="BJ57" s="1159">
        <v>11</v>
      </c>
    </row>
    <row customHeight="1" ht="11.549999999999999">
      <c r="F58" s="1234"/>
      <c r="G58" s="1243" t="s">
        <v>1367</v>
      </c>
      <c r="H58" s="1240">
        <f>SUM(I58:J58)</f>
        <v>0</v>
      </c>
      <c r="I58" s="1240">
        <f>SUM(I38,I48)</f>
        <v>0</v>
      </c>
      <c r="J58" s="1229"/>
      <c r="K58" s="1240">
        <f>SUM(L58:AK58)</f>
        <v>0</v>
      </c>
      <c r="L58" s="1240">
        <f>SUM(L38,L48)</f>
        <v>0</v>
      </c>
      <c r="M58" s="1240">
        <f>SUM(M38,M48)</f>
        <v>0</v>
      </c>
      <c r="N58" s="1240">
        <f>SUM(N38,N48)</f>
        <v>0</v>
      </c>
      <c r="O58" s="1240">
        <f>SUM(O38,O48)</f>
        <v>0</v>
      </c>
      <c r="P58" s="1240">
        <f>SUM(P38,P48)</f>
        <v>0</v>
      </c>
      <c r="Q58" s="1240">
        <f>SUM(Q38,Q48)</f>
        <v>0</v>
      </c>
      <c r="R58" s="1240">
        <f>SUM(R38,R48)</f>
        <v>0</v>
      </c>
      <c r="S58" s="1240">
        <f>SUM(S38,S48)</f>
        <v>0</v>
      </c>
      <c r="T58" s="1240">
        <f>SUM(T38,T48)</f>
        <v>0</v>
      </c>
      <c r="U58" s="1240">
        <f>SUM(U38,U48)</f>
        <v>0</v>
      </c>
      <c r="V58" s="1240">
        <f>SUM(V38,V48)</f>
        <v>0</v>
      </c>
      <c r="W58" s="1240">
        <f>SUM(W38,W48)</f>
        <v>0</v>
      </c>
      <c r="X58" s="1240">
        <f>SUM(X38,X48)</f>
        <v>0</v>
      </c>
      <c r="Y58" s="1240">
        <f>SUM(Y38,Y48)</f>
        <v>0</v>
      </c>
      <c r="Z58" s="1240">
        <f>SUM(Z38,Z48)</f>
        <v>0</v>
      </c>
      <c r="AA58" s="1240">
        <f>SUM(AA38,AA48)</f>
        <v>0</v>
      </c>
      <c r="AB58" s="1240">
        <f>SUM(AB38,AB48)</f>
        <v>0</v>
      </c>
      <c r="AC58" s="1240">
        <f>SUM(AC38,AC48)</f>
        <v>0</v>
      </c>
      <c r="AD58" s="1240">
        <f>SUM(AD38,AD48)</f>
        <v>0</v>
      </c>
      <c r="AE58" s="1240">
        <f>SUM(AE38,AE48)</f>
        <v>0</v>
      </c>
      <c r="AF58" s="1240">
        <f>SUM(AF38,AF48)</f>
        <v>0</v>
      </c>
      <c r="AG58" s="1240">
        <f>SUM(AG38,AG48)</f>
        <v>0</v>
      </c>
      <c r="AH58" s="1240">
        <f>SUM(AH38,AH48)</f>
        <v>0</v>
      </c>
      <c r="AI58" s="1240">
        <f>SUM(AI38,AI48)</f>
        <v>0</v>
      </c>
      <c r="AJ58" s="1240">
        <f>SUM(AJ38,AJ48)</f>
        <v>0</v>
      </c>
      <c r="AK58" s="2430"/>
      <c r="AL58" s="1240">
        <f>SUM(AM58:AW58)</f>
        <v>0</v>
      </c>
      <c r="AM58" s="1240">
        <f>SUM(AM38,AM48)</f>
        <v>0</v>
      </c>
      <c r="AN58" s="1240">
        <f>SUM(AN38,AN48)</f>
        <v>0</v>
      </c>
      <c r="AO58" s="1240">
        <f>SUM(AO38,AO48)</f>
        <v>0</v>
      </c>
      <c r="AP58" s="1240">
        <f>SUM(AP38,AP48)</f>
        <v>0</v>
      </c>
      <c r="AQ58" s="1240">
        <f>SUM(AQ38,AQ48)</f>
        <v>0</v>
      </c>
      <c r="AR58" s="1240">
        <f>SUM(AR38,AR48)</f>
        <v>0</v>
      </c>
      <c r="AS58" s="1240">
        <f>SUM(AS38,AS48)</f>
        <v>0</v>
      </c>
      <c r="AT58" s="1240">
        <f>SUM(AT38,AT48)</f>
        <v>0</v>
      </c>
      <c r="AU58" s="1240">
        <f>SUM(AU38,AU48)</f>
        <v>0</v>
      </c>
      <c r="AV58" s="1240">
        <f>SUM(AV38,AV48)</f>
        <v>0</v>
      </c>
      <c r="AW58" s="2430"/>
      <c r="AX58" s="1238"/>
      <c r="BJ58" s="1159">
        <v>11</v>
      </c>
    </row>
    <row customHeight="1" ht="10.5" hidden="1">
      <c r="A59" s="1170" t="s">
        <v>82</v>
      </c>
      <c r="B59" s="1170">
        <v>0</v>
      </c>
      <c r="C59" s="1170">
        <v>0</v>
      </c>
      <c r="D59" s="1164">
        <v>0</v>
      </c>
      <c r="E59" s="513">
        <v>3</v>
      </c>
      <c r="F59" s="1159">
        <v>6</v>
      </c>
      <c r="G59" s="1159">
        <v>60</v>
      </c>
      <c r="H59" s="1159">
        <v>0</v>
      </c>
      <c r="I59" s="1159">
        <v>0</v>
      </c>
      <c r="J59" s="1159">
        <v>0</v>
      </c>
      <c r="K59" s="1639">
        <v>0</v>
      </c>
      <c r="L59" s="1639">
        <v>0</v>
      </c>
      <c r="M59" s="1639">
        <v>0</v>
      </c>
      <c r="N59" s="1639">
        <v>0</v>
      </c>
      <c r="O59" s="1639">
        <v>0</v>
      </c>
      <c r="P59" s="1639">
        <v>0</v>
      </c>
      <c r="Q59" s="1639">
        <v>0</v>
      </c>
      <c r="R59" s="1639">
        <v>0</v>
      </c>
      <c r="S59" s="1639">
        <v>0</v>
      </c>
      <c r="T59" s="1639">
        <v>0</v>
      </c>
      <c r="U59" s="1639">
        <v>0</v>
      </c>
      <c r="V59" s="1639">
        <v>0</v>
      </c>
      <c r="W59" s="1639">
        <v>0</v>
      </c>
      <c r="X59" s="1639">
        <v>0</v>
      </c>
      <c r="Y59" s="1639">
        <v>0</v>
      </c>
      <c r="Z59" s="1639">
        <v>0</v>
      </c>
      <c r="AA59" s="1639">
        <v>0</v>
      </c>
      <c r="AB59" s="1639">
        <v>0</v>
      </c>
      <c r="AC59" s="1639">
        <v>0</v>
      </c>
      <c r="AD59" s="1639">
        <v>0</v>
      </c>
      <c r="AE59" s="1639">
        <v>0</v>
      </c>
      <c r="AF59" s="1639">
        <v>0</v>
      </c>
      <c r="AG59" s="1639">
        <v>0</v>
      </c>
      <c r="AH59" s="1639">
        <v>0</v>
      </c>
      <c r="AI59" s="1639">
        <v>0</v>
      </c>
      <c r="AJ59" s="1639">
        <v>0</v>
      </c>
      <c r="AK59" s="1639">
        <v>0</v>
      </c>
      <c r="AL59" s="1639">
        <v>0</v>
      </c>
      <c r="AM59" s="1639">
        <v>0</v>
      </c>
      <c r="AN59" s="1639">
        <v>0</v>
      </c>
      <c r="AO59" s="1639">
        <v>0</v>
      </c>
      <c r="AP59" s="1639">
        <v>0</v>
      </c>
      <c r="AQ59" s="1639">
        <v>0</v>
      </c>
      <c r="AR59" s="1639">
        <v>0</v>
      </c>
      <c r="AS59" s="1639">
        <v>0</v>
      </c>
      <c r="AT59" s="1639">
        <v>0</v>
      </c>
      <c r="AU59" s="1639">
        <v>0</v>
      </c>
      <c r="AV59" s="1639">
        <v>0</v>
      </c>
      <c r="AW59" s="1639">
        <v>0</v>
      </c>
      <c r="AX59" s="1159">
        <v>1</v>
      </c>
      <c r="AY59" s="1159">
        <v>8</v>
      </c>
      <c r="AZ59" s="1159">
        <v>8</v>
      </c>
      <c r="BA59" s="1159">
        <v>8</v>
      </c>
      <c r="BB59" s="1159">
        <v>8</v>
      </c>
      <c r="BC59" s="1159">
        <v>8</v>
      </c>
      <c r="BD59" s="1159">
        <v>8</v>
      </c>
      <c r="BE59" s="1159">
        <v>8</v>
      </c>
      <c r="BF59" s="1159">
        <v>8</v>
      </c>
      <c r="BG59" s="1159">
        <v>8</v>
      </c>
      <c r="BH59" s="1159">
        <v>8</v>
      </c>
      <c r="BI59" s="1159">
        <v>8</v>
      </c>
      <c r="BJ59" s="1159">
        <v>10</v>
      </c>
    </row>
  </sheetData>
  <sheetProtection formatColumns="0" formatRows="0" autoFilter="0" sort="0" insertRows="0" insertColumns="1" deleteRows="0" deleteColumns="0"/>
  <mergeCells count="13">
    <mergeCell ref="F5:J5"/>
    <mergeCell ref="F6:J6"/>
    <mergeCell ref="F9:J9"/>
    <mergeCell ref="G14:J14"/>
    <mergeCell ref="G37:J37"/>
    <mergeCell ref="F10:F12"/>
    <mergeCell ref="H10:J10"/>
    <mergeCell ref="H11:J11"/>
    <mergeCell ref="G10:G12"/>
    <mergeCell ref="K10:AK10"/>
    <mergeCell ref="K11:AK11"/>
    <mergeCell ref="AL10:AW10"/>
    <mergeCell ref="AL11:AW11"/>
  </mergeCells>
  <dataValidations count="1">
    <dataValidation type="decimal" allowBlank="1" showErrorMessage="1" errorTitle="Ошибка" error="Допускается ввод только неотрицательных чисел!" sqref="I29:I31 I33:I35 I40:I43 I45:I47 I50:I53 I55:I57 I16:I27 L16:AJ16 L17:AJ17 L18:AJ18 L19:AJ19 L20:AJ20 L21:AJ21 L22:AJ22 L23:AJ23 L24:AJ24 L25:AJ25 L26:AJ26 L27:AJ27 L29:AJ29 L30:AJ30 L31:AJ31 L33:AJ33 L34:AJ34 L35:AJ35 L40:AJ40 L41:AJ41 L42:AJ42 L43:AJ43 L45:AJ45 L46:AJ46 L47:AJ47 L50:AJ50 L51:AJ51 L52:AJ52 L53:AJ53 L55:AJ55 L56:AJ56 L57:AJ57 AM16:AV16 AM17:AV17 AM18:AV18 AM19:AV19 AM20:AV20 AM21:AV21 AM22:AV22 AM23:AV23 AM24:AV24 AM25:AV25 AM26:AV26 AM27:AV27 AM29:AV29 AM30:AV30 AM31:AV31 AM33:AV33 AM34:AV34 AM35:AV35 AM40:AV40 AM41:AV41 AM42:AV42 AM43:AV43 AM45:AV45 AM46:AV46 AM47:AV47 AM50:AV50 AM51:AV51 AM52:AV52 AM53:AV53 AM55:AV55 AM56:AV56 AM57:AV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0E2B07-0374-F8C7-FA01-B4B8212A14F8}" mc:Ignorable="x14ac xr xr2 xr3">
  <sheetPr>
    <tabColor theme="9" tint="-0.25"/>
  </sheetPr>
  <dimension ref="A1:GC31"/>
  <sheetViews>
    <sheetView showGridLines="0" zoomScale="90" workbookViewId="0">
      <pane xSplit="14" ySplit="17" topLeftCell="R21" activePane="bottomRight" state="frozen"/>
      <selection pane="bottomLeft" activeCell="A18" sqref="A18"/>
      <selection pane="topRight" activeCell="O1" sqref="O1"/>
      <selection pane="bottomRight" activeCell="T22" sqref="T22"/>
    </sheetView>
  </sheetViews>
  <sheetFormatPr defaultColWidth="9.140625" customHeight="1" defaultRowHeight="12"/>
  <cols>
    <col min="1" max="1" style="1067" width="4.7109375" hidden="1" customWidth="1"/>
    <col min="2" max="2" style="940" width="4.7109375" hidden="1" customWidth="1"/>
    <col min="3" max="4" style="1067" width="4.7109375" hidden="1" customWidth="1"/>
    <col min="5" max="5" style="1067" width="3.00390625" customWidth="1"/>
    <col min="6" max="6" style="1067" width="6.00390625" customWidth="1"/>
    <col min="7" max="7" style="1067" width="18.00390625" customWidth="1"/>
    <col min="8" max="8" style="1067" width="27.00390625" customWidth="1"/>
    <col min="9" max="9" style="1067" width="18.00390625" customWidth="1"/>
    <col min="10" max="14" style="1067" width="0.8515625" hidden="1" customWidth="1"/>
    <col min="15" max="28" style="1067" width="21.7109375" customWidth="1"/>
    <col min="29" max="71" style="1067" width="0.8515625" customWidth="1"/>
    <col min="72" max="79" style="1067" width="21.7109375" hidden="1" customWidth="1"/>
    <col min="80" max="81" style="1067" width="29.140625" hidden="1" customWidth="1"/>
    <col min="82" max="89" style="1067" width="21.7109375" hidden="1" customWidth="1"/>
    <col min="90" max="102" style="1067" width="0.7109375" hidden="1" customWidth="1"/>
    <col min="103" max="114" style="1067" width="21.7109375" hidden="1" customWidth="1"/>
    <col min="115" max="178" style="1067" width="0.7109375" hidden="1" customWidth="1"/>
    <col min="179" max="179" style="1067" width="0.140625" customWidth="1"/>
    <col min="180" max="184" style="1067" width="8.00390625" customWidth="1"/>
    <col min="185" max="185" style="1067" width="9.140625" hidden="1"/>
  </cols>
  <sheetData>
    <row s="929" customFormat="1" customHeight="1" ht="12" hidden="1">
      <c r="B1" s="927"/>
      <c r="C1" s="928"/>
      <c r="D1" s="928"/>
      <c r="GC1" s="926" t="s">
        <v>14</v>
      </c>
    </row>
    <row s="929" customFormat="1" customHeight="1" ht="12" hidden="1">
      <c r="B2" s="927"/>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9"/>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928"/>
      <c r="FG2" s="928"/>
      <c r="FH2" s="928"/>
      <c r="FI2" s="928"/>
      <c r="FJ2" s="928"/>
      <c r="FK2" s="928"/>
      <c r="FL2" s="928"/>
      <c r="FM2" s="928"/>
      <c r="FN2" s="928"/>
      <c r="FO2" s="928"/>
      <c r="FP2" s="928"/>
      <c r="FQ2" s="928"/>
      <c r="FR2" s="928"/>
      <c r="FS2" s="928"/>
      <c r="FT2" s="928"/>
      <c r="FU2" s="928"/>
      <c r="FV2" s="928"/>
      <c r="FW2" s="928"/>
      <c r="GC2" s="926">
        <v>0</v>
      </c>
    </row>
    <row s="929" customFormat="1" customHeight="1" ht="12" hidden="1">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9"/>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c r="DI3" s="928"/>
      <c r="DJ3" s="928"/>
      <c r="DK3" s="928"/>
      <c r="DL3" s="928"/>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GC3" s="926">
        <v>0</v>
      </c>
    </row>
    <row customHeight="1" ht="10.5">
      <c r="B4" s="931"/>
      <c r="C4" s="932"/>
      <c r="D4" s="932"/>
      <c r="E4" s="932"/>
      <c r="F4" s="932"/>
      <c r="G4" s="932"/>
      <c r="H4" s="933"/>
      <c r="I4" s="933"/>
      <c r="J4" s="933"/>
      <c r="K4" s="933"/>
      <c r="L4" s="933"/>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c r="EG4" s="934"/>
      <c r="EH4" s="934"/>
      <c r="EI4" s="934"/>
      <c r="EJ4" s="934"/>
      <c r="EK4" s="934"/>
      <c r="EL4" s="934"/>
      <c r="EM4" s="934"/>
      <c r="EN4" s="934"/>
      <c r="EO4" s="934"/>
      <c r="EP4" s="934"/>
      <c r="EQ4" s="934"/>
      <c r="ER4" s="934"/>
      <c r="ES4" s="934"/>
      <c r="ET4" s="934"/>
      <c r="EU4" s="934"/>
      <c r="EV4" s="934"/>
      <c r="EW4" s="934"/>
      <c r="EX4" s="934"/>
      <c r="EY4" s="934"/>
      <c r="EZ4" s="934"/>
      <c r="FA4" s="934"/>
      <c r="FB4" s="934"/>
      <c r="FC4" s="934"/>
      <c r="FD4" s="934"/>
      <c r="FE4" s="934"/>
      <c r="FF4" s="934"/>
      <c r="FG4" s="934"/>
      <c r="FH4" s="934"/>
      <c r="FI4" s="934"/>
      <c r="FJ4" s="934"/>
      <c r="FK4" s="934"/>
      <c r="FL4" s="934"/>
      <c r="FM4" s="934"/>
      <c r="FN4" s="934"/>
      <c r="FO4" s="934"/>
      <c r="FP4" s="934"/>
      <c r="FQ4" s="934"/>
      <c r="FR4" s="934"/>
      <c r="FS4" s="934"/>
      <c r="FT4" s="934"/>
      <c r="FU4" s="934"/>
      <c r="FV4" s="934"/>
      <c r="FW4" s="934"/>
      <c r="GC4" s="930">
        <v>10</v>
      </c>
    </row>
    <row s="1877" customFormat="1" customHeight="1" ht="27.299999999999997">
      <c r="B5" s="1876"/>
      <c r="E5" s="1878"/>
      <c r="F5" s="243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GC5" s="1877">
        <v>26</v>
      </c>
    </row>
    <row s="2142" customFormat="1" customHeight="1" ht="18.75">
      <c r="B6" s="947"/>
      <c r="E6" s="949"/>
      <c r="F6" s="2218" t="str">
        <f>IF(org=0,"Не определено",org)</f>
        <v>АО "Теплоэнерго"</v>
      </c>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c r="BP6" s="2219"/>
      <c r="BQ6" s="2219"/>
      <c r="BR6" s="2219"/>
      <c r="BS6" s="2219"/>
      <c r="GC6" s="948">
        <v>18</v>
      </c>
    </row>
    <row s="937" customFormat="1" customHeight="1" ht="10.5">
      <c r="B7" s="936"/>
      <c r="E7" s="937"/>
      <c r="F7" s="937"/>
      <c r="G7" s="939"/>
      <c r="H7" s="933"/>
      <c r="I7" s="933"/>
      <c r="J7" s="933"/>
      <c r="K7" s="933"/>
      <c r="L7" s="933"/>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GC7" s="935">
        <v>10</v>
      </c>
    </row>
    <row s="937" customFormat="1" customHeight="1" ht="11.25" hidden="1">
      <c r="B8" s="938"/>
      <c r="F8" s="1060"/>
      <c r="G8" s="767"/>
      <c r="H8" s="364"/>
      <c r="I8" s="364"/>
      <c r="J8" s="364"/>
      <c r="K8" s="364"/>
      <c r="L8" s="364"/>
      <c r="M8" s="1060"/>
      <c r="N8" s="1060"/>
      <c r="O8" s="2454" t="s">
        <v>1385</v>
      </c>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BB8" s="2455"/>
      <c r="BC8" s="2455"/>
      <c r="BD8" s="2455"/>
      <c r="BE8" s="2455"/>
      <c r="BF8" s="2455"/>
      <c r="BG8" s="2455"/>
      <c r="BH8" s="2455"/>
      <c r="BI8" s="2455"/>
      <c r="BJ8" s="2455"/>
      <c r="BK8" s="2455"/>
      <c r="BL8" s="2455"/>
      <c r="BM8" s="2455"/>
      <c r="BN8" s="2455"/>
      <c r="BO8" s="2455"/>
      <c r="BP8" s="2455"/>
      <c r="BQ8" s="2455"/>
      <c r="BR8" s="2455"/>
      <c r="BS8" s="2456"/>
      <c r="BT8" s="2443"/>
      <c r="BU8" s="2444"/>
      <c r="BV8" s="2444"/>
      <c r="BW8" s="2444"/>
      <c r="BX8" s="2444"/>
      <c r="BY8" s="2444"/>
      <c r="BZ8" s="2444"/>
      <c r="CA8" s="2444"/>
      <c r="CB8" s="2444"/>
      <c r="CC8" s="2444"/>
      <c r="CD8" s="2444"/>
      <c r="CE8" s="2444"/>
      <c r="CF8" s="2444"/>
      <c r="CG8" s="2444"/>
      <c r="CH8" s="2444"/>
      <c r="CI8" s="2444"/>
      <c r="CJ8" s="2444"/>
      <c r="CK8" s="2444"/>
      <c r="CL8" s="2444"/>
      <c r="CM8" s="2444"/>
      <c r="CN8" s="2444"/>
      <c r="CO8" s="2444"/>
      <c r="CP8" s="2444"/>
      <c r="CQ8" s="2444"/>
      <c r="CR8" s="2444"/>
      <c r="CS8" s="2444"/>
      <c r="CT8" s="2444"/>
      <c r="CU8" s="2444"/>
      <c r="CV8" s="2444"/>
      <c r="CW8" s="2444"/>
      <c r="CX8" s="2445"/>
      <c r="CY8" s="2446"/>
      <c r="CZ8" s="2447"/>
      <c r="DA8" s="2447"/>
      <c r="DB8" s="2447"/>
      <c r="DC8" s="2447"/>
      <c r="DD8" s="2447"/>
      <c r="DE8" s="2447"/>
      <c r="DF8" s="2447"/>
      <c r="DG8" s="2447"/>
      <c r="DH8" s="2447"/>
      <c r="DI8" s="2447"/>
      <c r="DJ8" s="2447"/>
      <c r="DK8" s="2447"/>
      <c r="DL8" s="2447"/>
      <c r="DM8" s="2447"/>
      <c r="DN8" s="2447"/>
      <c r="DO8" s="2447"/>
      <c r="DP8" s="2447"/>
      <c r="DQ8" s="2447"/>
      <c r="DR8" s="2447"/>
      <c r="DS8" s="2447"/>
      <c r="DT8" s="2447"/>
      <c r="DU8" s="2447"/>
      <c r="DV8" s="2447"/>
      <c r="DW8" s="2447"/>
      <c r="DX8" s="2448"/>
      <c r="DY8" s="2449" t="s">
        <v>1386</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1060"/>
      <c r="GC8" s="937">
        <v>0</v>
      </c>
    </row>
    <row s="937" customFormat="1" customHeight="1" ht="11.25" hidden="1">
      <c r="B9" s="938"/>
      <c r="F9" s="1060"/>
      <c r="G9" s="767"/>
      <c r="H9" s="364"/>
      <c r="I9" s="364"/>
      <c r="J9" s="364"/>
      <c r="K9" s="364"/>
      <c r="L9" s="364"/>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2452"/>
      <c r="FX9" s="1060"/>
      <c r="GC9" s="937">
        <v>0</v>
      </c>
    </row>
    <row s="937" customFormat="1" customHeight="1" ht="11.549999999999999">
      <c r="B10" s="938"/>
      <c r="F10" s="2433" t="s">
        <v>318</v>
      </c>
      <c r="G10" s="2434"/>
      <c r="H10" s="2434"/>
      <c r="I10" s="2434"/>
      <c r="J10" s="2434"/>
      <c r="K10" s="2434"/>
      <c r="L10" s="2434"/>
      <c r="M10" s="2434"/>
      <c r="N10" s="2434"/>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5"/>
      <c r="FW10" s="2452"/>
      <c r="FX10" s="1060"/>
      <c r="GC10" s="937">
        <v>11</v>
      </c>
    </row>
    <row customHeight="1" ht="12.75">
      <c r="E11" s="941"/>
      <c r="F11" s="2209" t="s">
        <v>88</v>
      </c>
      <c r="G11" s="2209" t="s">
        <v>1387</v>
      </c>
      <c r="H11" s="2441" t="s">
        <v>1388</v>
      </c>
      <c r="I11" s="2441" t="s">
        <v>1389</v>
      </c>
      <c r="J11" s="2442"/>
      <c r="K11" s="2442"/>
      <c r="L11" s="2442"/>
      <c r="M11" s="2442"/>
      <c r="N11" s="2442"/>
      <c r="O11" s="2213" t="s">
        <v>1390</v>
      </c>
      <c r="P11" s="2213"/>
      <c r="Q11" s="2213"/>
      <c r="R11" s="2213"/>
      <c r="S11" s="2213"/>
      <c r="T11" s="2213"/>
      <c r="U11" s="2213"/>
      <c r="V11" s="2213"/>
      <c r="W11" s="2213"/>
      <c r="X11" s="2213"/>
      <c r="Y11" s="2213"/>
      <c r="Z11" s="2213"/>
      <c r="AA11" s="2213"/>
      <c r="AB11" s="2213"/>
      <c r="AC11" s="2438"/>
      <c r="AD11" s="2438"/>
      <c r="AE11" s="2438"/>
      <c r="AF11" s="2438"/>
      <c r="AG11" s="2438"/>
      <c r="AH11" s="2438"/>
      <c r="AI11" s="2438"/>
      <c r="AJ11" s="2438"/>
      <c r="AK11" s="2438"/>
      <c r="AL11" s="2438"/>
      <c r="AM11" s="2438"/>
      <c r="AN11" s="2438"/>
      <c r="AO11" s="2438"/>
      <c r="AP11" s="2438"/>
      <c r="AQ11" s="2438"/>
      <c r="AR11" s="2438"/>
      <c r="AS11" s="2438"/>
      <c r="AT11" s="2438"/>
      <c r="AU11" s="2438"/>
      <c r="AV11" s="2438"/>
      <c r="AW11" s="2438"/>
      <c r="AX11" s="2438"/>
      <c r="AY11" s="2438"/>
      <c r="AZ11" s="2438"/>
      <c r="BA11" s="2438"/>
      <c r="BB11" s="2438"/>
      <c r="BC11" s="2438"/>
      <c r="BD11" s="2438"/>
      <c r="BE11" s="2438"/>
      <c r="BF11" s="2438"/>
      <c r="BG11" s="2438"/>
      <c r="BH11" s="2438"/>
      <c r="BI11" s="2438"/>
      <c r="BJ11" s="2438"/>
      <c r="BK11" s="2438"/>
      <c r="BL11" s="2438"/>
      <c r="BM11" s="2438"/>
      <c r="BN11" s="2438"/>
      <c r="BO11" s="2438"/>
      <c r="BP11" s="2438"/>
      <c r="BQ11" s="2438"/>
      <c r="BR11" s="2438"/>
      <c r="BS11" s="2457"/>
      <c r="BT11" s="2390" t="s">
        <v>1390</v>
      </c>
      <c r="BU11" s="2391"/>
      <c r="BV11" s="2391"/>
      <c r="BW11" s="2391"/>
      <c r="BX11" s="2391"/>
      <c r="BY11" s="2391"/>
      <c r="BZ11" s="2391"/>
      <c r="CA11" s="2391"/>
      <c r="CB11" s="2391"/>
      <c r="CC11" s="2391"/>
      <c r="CD11" s="2391"/>
      <c r="CE11" s="2391"/>
      <c r="CF11" s="2391"/>
      <c r="CG11" s="2391"/>
      <c r="CH11" s="2391"/>
      <c r="CI11" s="2391"/>
      <c r="CJ11" s="2391"/>
      <c r="CK11" s="2437"/>
      <c r="CL11" s="2440"/>
      <c r="CM11" s="2438"/>
      <c r="CN11" s="2438"/>
      <c r="CO11" s="2438"/>
      <c r="CP11" s="2438"/>
      <c r="CQ11" s="2438"/>
      <c r="CR11" s="2438"/>
      <c r="CS11" s="2438"/>
      <c r="CT11" s="2438"/>
      <c r="CU11" s="2438"/>
      <c r="CV11" s="2438"/>
      <c r="CW11" s="2438"/>
      <c r="CX11" s="2457"/>
      <c r="CY11" s="2390" t="s">
        <v>1390</v>
      </c>
      <c r="CZ11" s="2391"/>
      <c r="DA11" s="2391"/>
      <c r="DB11" s="2391"/>
      <c r="DC11" s="2391"/>
      <c r="DD11" s="2391"/>
      <c r="DE11" s="2391"/>
      <c r="DF11" s="2391"/>
      <c r="DG11" s="2391"/>
      <c r="DH11" s="2391"/>
      <c r="DI11" s="2391"/>
      <c r="DJ11" s="2437"/>
      <c r="DK11" s="2440"/>
      <c r="DL11" s="2438"/>
      <c r="DM11" s="2438"/>
      <c r="DN11" s="2438"/>
      <c r="DO11" s="2438"/>
      <c r="DP11" s="2438"/>
      <c r="DQ11" s="2438"/>
      <c r="DR11" s="2438"/>
      <c r="DS11" s="2438"/>
      <c r="DT11" s="2438"/>
      <c r="DU11" s="2438"/>
      <c r="DV11" s="2438"/>
      <c r="DW11" s="2438"/>
      <c r="DX11" s="2438"/>
      <c r="DY11" s="2438"/>
      <c r="DZ11" s="2438"/>
      <c r="EA11" s="2438"/>
      <c r="EB11" s="2438"/>
      <c r="EC11" s="2438"/>
      <c r="ED11" s="2438"/>
      <c r="EE11" s="2438"/>
      <c r="EF11" s="2438"/>
      <c r="EG11" s="2438"/>
      <c r="EH11" s="2438"/>
      <c r="EI11" s="2438"/>
      <c r="EJ11" s="2438"/>
      <c r="EK11" s="2438"/>
      <c r="EL11" s="2438"/>
      <c r="EM11" s="2438"/>
      <c r="EN11" s="2438"/>
      <c r="EO11" s="2438"/>
      <c r="EP11" s="2438"/>
      <c r="EQ11" s="2438"/>
      <c r="ER11" s="2438"/>
      <c r="ES11" s="2438"/>
      <c r="ET11" s="2438"/>
      <c r="EU11" s="2438"/>
      <c r="EV11" s="2438"/>
      <c r="EW11" s="2438"/>
      <c r="EX11" s="2438"/>
      <c r="EY11" s="2438"/>
      <c r="EZ11" s="2438"/>
      <c r="FA11" s="2438"/>
      <c r="FB11" s="2438"/>
      <c r="FC11" s="2438"/>
      <c r="FD11" s="2438"/>
      <c r="FE11" s="2438"/>
      <c r="FF11" s="2438"/>
      <c r="FG11" s="2438"/>
      <c r="FH11" s="2438"/>
      <c r="FI11" s="2438"/>
      <c r="FJ11" s="2438"/>
      <c r="FK11" s="2438"/>
      <c r="FL11" s="2438"/>
      <c r="FM11" s="2438"/>
      <c r="FN11" s="2438"/>
      <c r="FO11" s="2438"/>
      <c r="FP11" s="2438"/>
      <c r="FQ11" s="2438"/>
      <c r="FR11" s="2438"/>
      <c r="FS11" s="2438"/>
      <c r="FT11" s="2438"/>
      <c r="FU11" s="2438"/>
      <c r="FV11" s="2438"/>
      <c r="FW11" s="2452"/>
      <c r="FX11" s="766"/>
      <c r="GC11" s="930">
        <v>12</v>
      </c>
    </row>
    <row customHeight="1" ht="12.75">
      <c r="D12" s="942"/>
      <c r="E12" s="941"/>
      <c r="F12" s="2209"/>
      <c r="G12" s="2209"/>
      <c r="H12" s="2441"/>
      <c r="I12" s="2441"/>
      <c r="J12" s="2442"/>
      <c r="K12" s="2442"/>
      <c r="L12" s="2442"/>
      <c r="M12" s="2442"/>
      <c r="N12" s="2442"/>
      <c r="O12" s="2213" t="s">
        <v>1391</v>
      </c>
      <c r="P12" s="2213"/>
      <c r="Q12" s="2213"/>
      <c r="R12" s="2213"/>
      <c r="S12" s="2213" t="s">
        <v>1392</v>
      </c>
      <c r="T12" s="2213"/>
      <c r="U12" s="2213"/>
      <c r="V12" s="2213"/>
      <c r="W12" s="2213"/>
      <c r="X12" s="2213"/>
      <c r="Y12" s="2213"/>
      <c r="Z12" s="2213"/>
      <c r="AA12" s="2213"/>
      <c r="AB12" s="2213"/>
      <c r="AC12" s="2438"/>
      <c r="AD12" s="2438"/>
      <c r="AE12" s="2438"/>
      <c r="AF12" s="2438"/>
      <c r="AG12" s="2438"/>
      <c r="AH12" s="2438"/>
      <c r="AI12" s="2438"/>
      <c r="AJ12" s="2438"/>
      <c r="AK12" s="2438"/>
      <c r="AL12" s="2438"/>
      <c r="AM12" s="2438"/>
      <c r="AN12" s="2438"/>
      <c r="AO12" s="2438"/>
      <c r="AP12" s="2438"/>
      <c r="AQ12" s="2438"/>
      <c r="AR12" s="2438"/>
      <c r="AS12" s="2438"/>
      <c r="AT12" s="2438"/>
      <c r="AU12" s="2438"/>
      <c r="AV12" s="2438"/>
      <c r="AW12" s="2438"/>
      <c r="AX12" s="2438"/>
      <c r="AY12" s="2438"/>
      <c r="AZ12" s="2438"/>
      <c r="BA12" s="2438"/>
      <c r="BB12" s="2438"/>
      <c r="BC12" s="2438"/>
      <c r="BD12" s="2438"/>
      <c r="BE12" s="2438"/>
      <c r="BF12" s="2438"/>
      <c r="BG12" s="2438"/>
      <c r="BH12" s="2438"/>
      <c r="BI12" s="2438"/>
      <c r="BJ12" s="2438"/>
      <c r="BK12" s="2438"/>
      <c r="BL12" s="2438"/>
      <c r="BM12" s="2438"/>
      <c r="BN12" s="2438"/>
      <c r="BO12" s="2438"/>
      <c r="BP12" s="2438"/>
      <c r="BQ12" s="2438"/>
      <c r="BR12" s="2438"/>
      <c r="BS12" s="2457"/>
      <c r="BT12" s="2390" t="s">
        <v>1393</v>
      </c>
      <c r="BU12" s="2391"/>
      <c r="BV12" s="2391"/>
      <c r="BW12" s="2437"/>
      <c r="BX12" s="2390" t="s">
        <v>1394</v>
      </c>
      <c r="BY12" s="2391"/>
      <c r="BZ12" s="2391"/>
      <c r="CA12" s="2437"/>
      <c r="CB12" s="2390" t="s">
        <v>1395</v>
      </c>
      <c r="CC12" s="2437"/>
      <c r="CD12" s="2390" t="s">
        <v>1396</v>
      </c>
      <c r="CE12" s="2391"/>
      <c r="CF12" s="2391"/>
      <c r="CG12" s="2391"/>
      <c r="CH12" s="2391"/>
      <c r="CI12" s="2391"/>
      <c r="CJ12" s="2391"/>
      <c r="CK12" s="2437"/>
      <c r="CL12" s="2440"/>
      <c r="CM12" s="2438"/>
      <c r="CN12" s="2438"/>
      <c r="CO12" s="2438"/>
      <c r="CP12" s="2438"/>
      <c r="CQ12" s="2438"/>
      <c r="CR12" s="2438"/>
      <c r="CS12" s="2438"/>
      <c r="CT12" s="2438"/>
      <c r="CU12" s="2438"/>
      <c r="CV12" s="2438"/>
      <c r="CW12" s="2438"/>
      <c r="CX12" s="2457"/>
      <c r="CY12" s="2390" t="s">
        <v>1397</v>
      </c>
      <c r="CZ12" s="2391"/>
      <c r="DA12" s="2391"/>
      <c r="DB12" s="2391"/>
      <c r="DC12" s="2391"/>
      <c r="DD12" s="2437"/>
      <c r="DE12" s="2390" t="s">
        <v>1398</v>
      </c>
      <c r="DF12" s="2437"/>
      <c r="DG12" s="2390" t="s">
        <v>1396</v>
      </c>
      <c r="DH12" s="2391"/>
      <c r="DI12" s="2391"/>
      <c r="DJ12" s="2437"/>
      <c r="DK12" s="2440"/>
      <c r="DL12" s="2438"/>
      <c r="DM12" s="2438"/>
      <c r="DN12" s="2438"/>
      <c r="DO12" s="2438"/>
      <c r="DP12" s="2438"/>
      <c r="DQ12" s="2438"/>
      <c r="DR12" s="2438"/>
      <c r="DS12" s="2438"/>
      <c r="DT12" s="2438"/>
      <c r="DU12" s="2438"/>
      <c r="DV12" s="2438"/>
      <c r="DW12" s="2438"/>
      <c r="DX12" s="2438"/>
      <c r="DY12" s="2438"/>
      <c r="DZ12" s="2438"/>
      <c r="EA12" s="2438"/>
      <c r="EB12" s="2438"/>
      <c r="EC12" s="2438"/>
      <c r="ED12" s="2438"/>
      <c r="EE12" s="2438"/>
      <c r="EF12" s="2438"/>
      <c r="EG12" s="2438"/>
      <c r="EH12" s="2438"/>
      <c r="EI12" s="2438"/>
      <c r="EJ12" s="2438"/>
      <c r="EK12" s="2438"/>
      <c r="EL12" s="2438"/>
      <c r="EM12" s="2438"/>
      <c r="EN12" s="2438"/>
      <c r="EO12" s="2438"/>
      <c r="EP12" s="2438"/>
      <c r="EQ12" s="2438"/>
      <c r="ER12" s="2438"/>
      <c r="ES12" s="2438"/>
      <c r="ET12" s="2438"/>
      <c r="EU12" s="2438"/>
      <c r="EV12" s="2438"/>
      <c r="EW12" s="2438"/>
      <c r="EX12" s="2438"/>
      <c r="EY12" s="2438"/>
      <c r="EZ12" s="2438"/>
      <c r="FA12" s="2438"/>
      <c r="FB12" s="2438"/>
      <c r="FC12" s="2438"/>
      <c r="FD12" s="2438"/>
      <c r="FE12" s="2438"/>
      <c r="FF12" s="2438"/>
      <c r="FG12" s="2438"/>
      <c r="FH12" s="2438"/>
      <c r="FI12" s="2438"/>
      <c r="FJ12" s="2438"/>
      <c r="FK12" s="2438"/>
      <c r="FL12" s="2438"/>
      <c r="FM12" s="2438"/>
      <c r="FN12" s="2438"/>
      <c r="FO12" s="2438"/>
      <c r="FP12" s="2438"/>
      <c r="FQ12" s="2438"/>
      <c r="FR12" s="2438"/>
      <c r="FS12" s="2438"/>
      <c r="FT12" s="2438"/>
      <c r="FU12" s="2438"/>
      <c r="FV12" s="2438"/>
      <c r="FW12" s="2452"/>
      <c r="FX12" s="766"/>
      <c r="GC12" s="930">
        <v>12</v>
      </c>
    </row>
    <row customHeight="1" ht="37.8">
      <c r="D13" s="942"/>
      <c r="E13" s="941"/>
      <c r="F13" s="2209"/>
      <c r="G13" s="2209"/>
      <c r="H13" s="2441"/>
      <c r="I13" s="2441"/>
      <c r="J13" s="2442"/>
      <c r="K13" s="2442"/>
      <c r="L13" s="2442"/>
      <c r="M13" s="2442"/>
      <c r="N13" s="2442"/>
      <c r="O13" s="2213" t="s">
        <v>1399</v>
      </c>
      <c r="P13" s="2213"/>
      <c r="Q13" s="2213"/>
      <c r="R13" s="2213"/>
      <c r="S13" s="2340" t="s">
        <v>1400</v>
      </c>
      <c r="T13" s="2392"/>
      <c r="U13" s="2131" t="s">
        <v>1401</v>
      </c>
      <c r="V13" s="2131"/>
      <c r="W13" s="2131"/>
      <c r="X13" s="2131"/>
      <c r="Y13" s="2131" t="s">
        <v>1402</v>
      </c>
      <c r="Z13" s="2131"/>
      <c r="AA13" s="2131"/>
      <c r="AB13" s="2131"/>
      <c r="AC13" s="2438"/>
      <c r="AD13" s="2438"/>
      <c r="AE13" s="2438"/>
      <c r="AF13" s="2438"/>
      <c r="AG13" s="2438"/>
      <c r="AH13" s="2438"/>
      <c r="AI13" s="2438"/>
      <c r="AJ13" s="2438"/>
      <c r="AK13" s="2438"/>
      <c r="AL13" s="2438"/>
      <c r="AM13" s="2438"/>
      <c r="AN13" s="2438"/>
      <c r="AO13" s="2438"/>
      <c r="AP13" s="2438"/>
      <c r="AQ13" s="2438"/>
      <c r="AR13" s="2438"/>
      <c r="AS13" s="2438"/>
      <c r="AT13" s="2438"/>
      <c r="AU13" s="2438"/>
      <c r="AV13" s="2438"/>
      <c r="AW13" s="2438"/>
      <c r="AX13" s="2438"/>
      <c r="AY13" s="2438"/>
      <c r="AZ13" s="2438"/>
      <c r="BA13" s="2438"/>
      <c r="BB13" s="2438"/>
      <c r="BC13" s="2438"/>
      <c r="BD13" s="2438"/>
      <c r="BE13" s="2438"/>
      <c r="BF13" s="2438"/>
      <c r="BG13" s="2438"/>
      <c r="BH13" s="2438"/>
      <c r="BI13" s="2438"/>
      <c r="BJ13" s="2438"/>
      <c r="BK13" s="2438"/>
      <c r="BL13" s="2438"/>
      <c r="BM13" s="2438"/>
      <c r="BN13" s="2438"/>
      <c r="BO13" s="2438"/>
      <c r="BP13" s="2438"/>
      <c r="BQ13" s="2438"/>
      <c r="BR13" s="2438"/>
      <c r="BS13" s="2457"/>
      <c r="BT13" s="2340" t="s">
        <v>1403</v>
      </c>
      <c r="BU13" s="2392"/>
      <c r="BV13" s="2340" t="s">
        <v>1404</v>
      </c>
      <c r="BW13" s="2392"/>
      <c r="BX13" s="2340" t="s">
        <v>1405</v>
      </c>
      <c r="BY13" s="2392"/>
      <c r="BZ13" s="2340" t="s">
        <v>1406</v>
      </c>
      <c r="CA13" s="2392"/>
      <c r="CB13" s="2340" t="s">
        <v>1407</v>
      </c>
      <c r="CC13" s="2392"/>
      <c r="CD13" s="2340" t="s">
        <v>1408</v>
      </c>
      <c r="CE13" s="2392"/>
      <c r="CF13" s="2340" t="s">
        <v>1409</v>
      </c>
      <c r="CG13" s="2392"/>
      <c r="CH13" s="2390" t="s">
        <v>1410</v>
      </c>
      <c r="CI13" s="2391"/>
      <c r="CJ13" s="2391"/>
      <c r="CK13" s="2437"/>
      <c r="CL13" s="2440"/>
      <c r="CM13" s="2438"/>
      <c r="CN13" s="2438"/>
      <c r="CO13" s="2438"/>
      <c r="CP13" s="2438"/>
      <c r="CQ13" s="2438"/>
      <c r="CR13" s="2438"/>
      <c r="CS13" s="2438"/>
      <c r="CT13" s="2438"/>
      <c r="CU13" s="2438"/>
      <c r="CV13" s="2438"/>
      <c r="CW13" s="2438"/>
      <c r="CX13" s="2457"/>
      <c r="CY13" s="2340" t="s">
        <v>1411</v>
      </c>
      <c r="CZ13" s="2392"/>
      <c r="DA13" s="2340" t="s">
        <v>1412</v>
      </c>
      <c r="DB13" s="2392"/>
      <c r="DC13" s="2340" t="s">
        <v>1413</v>
      </c>
      <c r="DD13" s="2392"/>
      <c r="DE13" s="2340" t="s">
        <v>1414</v>
      </c>
      <c r="DF13" s="2392"/>
      <c r="DG13" s="2390" t="s">
        <v>1415</v>
      </c>
      <c r="DH13" s="2391"/>
      <c r="DI13" s="2391"/>
      <c r="DJ13" s="2437"/>
      <c r="DK13" s="2440"/>
      <c r="DL13" s="2438"/>
      <c r="DM13" s="2438"/>
      <c r="DN13" s="2438"/>
      <c r="DO13" s="2438"/>
      <c r="DP13" s="2438"/>
      <c r="DQ13" s="2438"/>
      <c r="DR13" s="2438"/>
      <c r="DS13" s="2438"/>
      <c r="DT13" s="2438"/>
      <c r="DU13" s="2438"/>
      <c r="DV13" s="2438"/>
      <c r="DW13" s="2438"/>
      <c r="DX13" s="2438"/>
      <c r="DY13" s="2438"/>
      <c r="DZ13" s="2438"/>
      <c r="EA13" s="2438"/>
      <c r="EB13" s="2438"/>
      <c r="EC13" s="2438"/>
      <c r="ED13" s="2438"/>
      <c r="EE13" s="2438"/>
      <c r="EF13" s="2438"/>
      <c r="EG13" s="2438"/>
      <c r="EH13" s="2438"/>
      <c r="EI13" s="2438"/>
      <c r="EJ13" s="2438"/>
      <c r="EK13" s="2438"/>
      <c r="EL13" s="2438"/>
      <c r="EM13" s="2438"/>
      <c r="EN13" s="2438"/>
      <c r="EO13" s="2438"/>
      <c r="EP13" s="2438"/>
      <c r="EQ13" s="2438"/>
      <c r="ER13" s="2438"/>
      <c r="ES13" s="2438"/>
      <c r="ET13" s="2438"/>
      <c r="EU13" s="2438"/>
      <c r="EV13" s="2438"/>
      <c r="EW13" s="2438"/>
      <c r="EX13" s="2438"/>
      <c r="EY13" s="2438"/>
      <c r="EZ13" s="2438"/>
      <c r="FA13" s="2438"/>
      <c r="FB13" s="2438"/>
      <c r="FC13" s="2438"/>
      <c r="FD13" s="2438"/>
      <c r="FE13" s="2438"/>
      <c r="FF13" s="2438"/>
      <c r="FG13" s="2438"/>
      <c r="FH13" s="2438"/>
      <c r="FI13" s="2438"/>
      <c r="FJ13" s="2438"/>
      <c r="FK13" s="2438"/>
      <c r="FL13" s="2438"/>
      <c r="FM13" s="2438"/>
      <c r="FN13" s="2438"/>
      <c r="FO13" s="2438"/>
      <c r="FP13" s="2438"/>
      <c r="FQ13" s="2438"/>
      <c r="FR13" s="2438"/>
      <c r="FS13" s="2438"/>
      <c r="FT13" s="2438"/>
      <c r="FU13" s="2438"/>
      <c r="FV13" s="2438"/>
      <c r="FW13" s="2452"/>
      <c r="FX13" s="766"/>
      <c r="GC13" s="930">
        <v>36</v>
      </c>
    </row>
    <row customHeight="1" ht="37.8">
      <c r="D14" s="942"/>
      <c r="E14" s="941"/>
      <c r="F14" s="2209"/>
      <c r="G14" s="2209"/>
      <c r="H14" s="2441"/>
      <c r="I14" s="2441"/>
      <c r="J14" s="2442"/>
      <c r="K14" s="2442"/>
      <c r="L14" s="2442"/>
      <c r="M14" s="2442"/>
      <c r="N14" s="2442"/>
      <c r="O14" s="2340" t="s">
        <v>1416</v>
      </c>
      <c r="P14" s="2392"/>
      <c r="Q14" s="2340" t="s">
        <v>1417</v>
      </c>
      <c r="R14" s="2392"/>
      <c r="S14" s="2341"/>
      <c r="T14" s="2217"/>
      <c r="U14" s="2340" t="s">
        <v>1100</v>
      </c>
      <c r="V14" s="2392"/>
      <c r="W14" s="2340" t="s">
        <v>1103</v>
      </c>
      <c r="X14" s="2392"/>
      <c r="Y14" s="2340" t="s">
        <v>1100</v>
      </c>
      <c r="Z14" s="2392"/>
      <c r="AA14" s="2340" t="s">
        <v>1110</v>
      </c>
      <c r="AB14" s="2392"/>
      <c r="AC14" s="2438"/>
      <c r="AD14" s="2438"/>
      <c r="AE14" s="2438"/>
      <c r="AF14" s="2438"/>
      <c r="AG14" s="2438"/>
      <c r="AH14" s="2438"/>
      <c r="AI14" s="2438"/>
      <c r="AJ14" s="2438"/>
      <c r="AK14" s="2438"/>
      <c r="AL14" s="2438"/>
      <c r="AM14" s="2438"/>
      <c r="AN14" s="2438"/>
      <c r="AO14" s="2438"/>
      <c r="AP14" s="2438"/>
      <c r="AQ14" s="2438"/>
      <c r="AR14" s="2438"/>
      <c r="AS14" s="2438"/>
      <c r="AT14" s="2438"/>
      <c r="AU14" s="2438"/>
      <c r="AV14" s="2438"/>
      <c r="AW14" s="2438"/>
      <c r="AX14" s="2438"/>
      <c r="AY14" s="2438"/>
      <c r="AZ14" s="2438"/>
      <c r="BA14" s="2438"/>
      <c r="BB14" s="2438"/>
      <c r="BC14" s="2438"/>
      <c r="BD14" s="2438"/>
      <c r="BE14" s="2438"/>
      <c r="BF14" s="2438"/>
      <c r="BG14" s="2438"/>
      <c r="BH14" s="2438"/>
      <c r="BI14" s="2438"/>
      <c r="BJ14" s="2438"/>
      <c r="BK14" s="2438"/>
      <c r="BL14" s="2438"/>
      <c r="BM14" s="2438"/>
      <c r="BN14" s="2438"/>
      <c r="BO14" s="2438"/>
      <c r="BP14" s="2438"/>
      <c r="BQ14" s="2438"/>
      <c r="BR14" s="2438"/>
      <c r="BS14" s="2457"/>
      <c r="BT14" s="2341"/>
      <c r="BU14" s="2217"/>
      <c r="BV14" s="2341"/>
      <c r="BW14" s="2217"/>
      <c r="BX14" s="2341"/>
      <c r="BY14" s="2217"/>
      <c r="BZ14" s="2341"/>
      <c r="CA14" s="2217"/>
      <c r="CB14" s="2341"/>
      <c r="CC14" s="2217"/>
      <c r="CD14" s="2341"/>
      <c r="CE14" s="2217"/>
      <c r="CF14" s="2341"/>
      <c r="CG14" s="2217"/>
      <c r="CH14" s="2340" t="s">
        <v>1418</v>
      </c>
      <c r="CI14" s="2392"/>
      <c r="CJ14" s="2340" t="s">
        <v>1419</v>
      </c>
      <c r="CK14" s="2392"/>
      <c r="CL14" s="2440"/>
      <c r="CM14" s="2438"/>
      <c r="CN14" s="2438"/>
      <c r="CO14" s="2438"/>
      <c r="CP14" s="2438"/>
      <c r="CQ14" s="2438"/>
      <c r="CR14" s="2438"/>
      <c r="CS14" s="2438"/>
      <c r="CT14" s="2438"/>
      <c r="CU14" s="2438"/>
      <c r="CV14" s="2438"/>
      <c r="CW14" s="2438"/>
      <c r="CX14" s="2457"/>
      <c r="CY14" s="2341"/>
      <c r="CZ14" s="2217"/>
      <c r="DA14" s="2341"/>
      <c r="DB14" s="2217"/>
      <c r="DC14" s="2341"/>
      <c r="DD14" s="2217"/>
      <c r="DE14" s="2341"/>
      <c r="DF14" s="2217"/>
      <c r="DG14" s="2340" t="s">
        <v>1420</v>
      </c>
      <c r="DH14" s="2392"/>
      <c r="DI14" s="2340" t="s">
        <v>1421</v>
      </c>
      <c r="DJ14" s="2392"/>
      <c r="DK14" s="2440"/>
      <c r="DL14" s="2438"/>
      <c r="DM14" s="2438"/>
      <c r="DN14" s="2438"/>
      <c r="DO14" s="2438"/>
      <c r="DP14" s="2438"/>
      <c r="DQ14" s="2438"/>
      <c r="DR14" s="2438"/>
      <c r="DS14" s="2438"/>
      <c r="DT14" s="2438"/>
      <c r="DU14" s="2438"/>
      <c r="DV14" s="2438"/>
      <c r="DW14" s="2438"/>
      <c r="DX14" s="2438"/>
      <c r="DY14" s="2438"/>
      <c r="DZ14" s="2438"/>
      <c r="EA14" s="2438"/>
      <c r="EB14" s="2438"/>
      <c r="EC14" s="2438"/>
      <c r="ED14" s="2438"/>
      <c r="EE14" s="2438"/>
      <c r="EF14" s="2438"/>
      <c r="EG14" s="2438"/>
      <c r="EH14" s="2438"/>
      <c r="EI14" s="2438"/>
      <c r="EJ14" s="2438"/>
      <c r="EK14" s="2438"/>
      <c r="EL14" s="2438"/>
      <c r="EM14" s="2438"/>
      <c r="EN14" s="2438"/>
      <c r="EO14" s="2438"/>
      <c r="EP14" s="2438"/>
      <c r="EQ14" s="2438"/>
      <c r="ER14" s="2438"/>
      <c r="ES14" s="2438"/>
      <c r="ET14" s="2438"/>
      <c r="EU14" s="2438"/>
      <c r="EV14" s="2438"/>
      <c r="EW14" s="2438"/>
      <c r="EX14" s="2438"/>
      <c r="EY14" s="2438"/>
      <c r="EZ14" s="2438"/>
      <c r="FA14" s="2438"/>
      <c r="FB14" s="2438"/>
      <c r="FC14" s="2438"/>
      <c r="FD14" s="2438"/>
      <c r="FE14" s="2438"/>
      <c r="FF14" s="2438"/>
      <c r="FG14" s="2438"/>
      <c r="FH14" s="2438"/>
      <c r="FI14" s="2438"/>
      <c r="FJ14" s="2438"/>
      <c r="FK14" s="2438"/>
      <c r="FL14" s="2438"/>
      <c r="FM14" s="2438"/>
      <c r="FN14" s="2438"/>
      <c r="FO14" s="2438"/>
      <c r="FP14" s="2438"/>
      <c r="FQ14" s="2438"/>
      <c r="FR14" s="2438"/>
      <c r="FS14" s="2438"/>
      <c r="FT14" s="2438"/>
      <c r="FU14" s="2438"/>
      <c r="FV14" s="2438"/>
      <c r="FW14" s="2452"/>
      <c r="FX14" s="766"/>
      <c r="GC14" s="930">
        <v>36</v>
      </c>
    </row>
    <row customHeight="1" ht="37.8">
      <c r="D15" s="942"/>
      <c r="E15" s="941"/>
      <c r="F15" s="2209"/>
      <c r="G15" s="2209"/>
      <c r="H15" s="2441"/>
      <c r="I15" s="2441"/>
      <c r="J15" s="2442"/>
      <c r="K15" s="2442"/>
      <c r="L15" s="2442"/>
      <c r="M15" s="2442"/>
      <c r="N15" s="2442"/>
      <c r="O15" s="2342"/>
      <c r="P15" s="2439"/>
      <c r="Q15" s="2342"/>
      <c r="R15" s="2439"/>
      <c r="S15" s="2342"/>
      <c r="T15" s="2439"/>
      <c r="U15" s="2342"/>
      <c r="V15" s="2439"/>
      <c r="W15" s="2342"/>
      <c r="X15" s="2439"/>
      <c r="Y15" s="2342"/>
      <c r="Z15" s="2439"/>
      <c r="AA15" s="2342"/>
      <c r="AB15" s="2439"/>
      <c r="AC15" s="2438"/>
      <c r="AD15" s="2438"/>
      <c r="AE15" s="2438"/>
      <c r="AF15" s="2438"/>
      <c r="AG15" s="2438"/>
      <c r="AH15" s="2438"/>
      <c r="AI15" s="2438"/>
      <c r="AJ15" s="2438"/>
      <c r="AK15" s="2438"/>
      <c r="AL15" s="2438"/>
      <c r="AM15" s="2438"/>
      <c r="AN15" s="2438"/>
      <c r="AO15" s="2438"/>
      <c r="AP15" s="2438"/>
      <c r="AQ15" s="2438"/>
      <c r="AR15" s="2438"/>
      <c r="AS15" s="2438"/>
      <c r="AT15" s="2438"/>
      <c r="AU15" s="2438"/>
      <c r="AV15" s="2438"/>
      <c r="AW15" s="2438"/>
      <c r="AX15" s="2438"/>
      <c r="AY15" s="2438"/>
      <c r="AZ15" s="2438"/>
      <c r="BA15" s="2438"/>
      <c r="BB15" s="2438"/>
      <c r="BC15" s="2438"/>
      <c r="BD15" s="2438"/>
      <c r="BE15" s="2438"/>
      <c r="BF15" s="2438"/>
      <c r="BG15" s="2438"/>
      <c r="BH15" s="2438"/>
      <c r="BI15" s="2438"/>
      <c r="BJ15" s="2438"/>
      <c r="BK15" s="2438"/>
      <c r="BL15" s="2438"/>
      <c r="BM15" s="2438"/>
      <c r="BN15" s="2438"/>
      <c r="BO15" s="2438"/>
      <c r="BP15" s="2438"/>
      <c r="BQ15" s="2438"/>
      <c r="BR15" s="2438"/>
      <c r="BS15" s="2457"/>
      <c r="BT15" s="2342"/>
      <c r="BU15" s="2439"/>
      <c r="BV15" s="2342"/>
      <c r="BW15" s="2439"/>
      <c r="BX15" s="2342"/>
      <c r="BY15" s="2439"/>
      <c r="BZ15" s="2342"/>
      <c r="CA15" s="2439"/>
      <c r="CB15" s="2342"/>
      <c r="CC15" s="2439"/>
      <c r="CD15" s="2342"/>
      <c r="CE15" s="2439"/>
      <c r="CF15" s="2342"/>
      <c r="CG15" s="2439"/>
      <c r="CH15" s="2342"/>
      <c r="CI15" s="2439"/>
      <c r="CJ15" s="2342"/>
      <c r="CK15" s="2439"/>
      <c r="CL15" s="2440"/>
      <c r="CM15" s="2438"/>
      <c r="CN15" s="2438"/>
      <c r="CO15" s="2438"/>
      <c r="CP15" s="2438"/>
      <c r="CQ15" s="2438"/>
      <c r="CR15" s="2438"/>
      <c r="CS15" s="2438"/>
      <c r="CT15" s="2438"/>
      <c r="CU15" s="2438"/>
      <c r="CV15" s="2438"/>
      <c r="CW15" s="2438"/>
      <c r="CX15" s="2457"/>
      <c r="CY15" s="2342"/>
      <c r="CZ15" s="2439"/>
      <c r="DA15" s="2342"/>
      <c r="DB15" s="2439"/>
      <c r="DC15" s="2342"/>
      <c r="DD15" s="2439"/>
      <c r="DE15" s="2342"/>
      <c r="DF15" s="2439"/>
      <c r="DG15" s="2342"/>
      <c r="DH15" s="2439"/>
      <c r="DI15" s="2342"/>
      <c r="DJ15" s="2439"/>
      <c r="DK15" s="2440"/>
      <c r="DL15" s="2438"/>
      <c r="DM15" s="2438"/>
      <c r="DN15" s="2438"/>
      <c r="DO15" s="2438"/>
      <c r="DP15" s="2438"/>
      <c r="DQ15" s="2438"/>
      <c r="DR15" s="2438"/>
      <c r="DS15" s="2438"/>
      <c r="DT15" s="2438"/>
      <c r="DU15" s="2438"/>
      <c r="DV15" s="2438"/>
      <c r="DW15" s="2438"/>
      <c r="DX15" s="2438"/>
      <c r="DY15" s="2438"/>
      <c r="DZ15" s="2438"/>
      <c r="EA15" s="2438"/>
      <c r="EB15" s="2438"/>
      <c r="EC15" s="2438"/>
      <c r="ED15" s="2438"/>
      <c r="EE15" s="2438"/>
      <c r="EF15" s="2438"/>
      <c r="EG15" s="2438"/>
      <c r="EH15" s="2438"/>
      <c r="EI15" s="2438"/>
      <c r="EJ15" s="2438"/>
      <c r="EK15" s="2438"/>
      <c r="EL15" s="2438"/>
      <c r="EM15" s="2438"/>
      <c r="EN15" s="2438"/>
      <c r="EO15" s="2438"/>
      <c r="EP15" s="2438"/>
      <c r="EQ15" s="2438"/>
      <c r="ER15" s="2438"/>
      <c r="ES15" s="2438"/>
      <c r="ET15" s="2438"/>
      <c r="EU15" s="2438"/>
      <c r="EV15" s="2438"/>
      <c r="EW15" s="2438"/>
      <c r="EX15" s="2438"/>
      <c r="EY15" s="2438"/>
      <c r="EZ15" s="2438"/>
      <c r="FA15" s="2438"/>
      <c r="FB15" s="2438"/>
      <c r="FC15" s="2438"/>
      <c r="FD15" s="2438"/>
      <c r="FE15" s="2438"/>
      <c r="FF15" s="2438"/>
      <c r="FG15" s="2438"/>
      <c r="FH15" s="2438"/>
      <c r="FI15" s="2438"/>
      <c r="FJ15" s="2438"/>
      <c r="FK15" s="2438"/>
      <c r="FL15" s="2438"/>
      <c r="FM15" s="2438"/>
      <c r="FN15" s="2438"/>
      <c r="FO15" s="2438"/>
      <c r="FP15" s="2438"/>
      <c r="FQ15" s="2438"/>
      <c r="FR15" s="2438"/>
      <c r="FS15" s="2438"/>
      <c r="FT15" s="2438"/>
      <c r="FU15" s="2438"/>
      <c r="FV15" s="2438"/>
      <c r="FW15" s="2452"/>
      <c r="FX15" s="766"/>
      <c r="GC15" s="930">
        <v>36</v>
      </c>
    </row>
    <row customHeight="1" ht="12.75">
      <c r="D16" s="942"/>
      <c r="E16" s="941"/>
      <c r="F16" s="2209"/>
      <c r="G16" s="2209"/>
      <c r="H16" s="2441"/>
      <c r="I16" s="2441"/>
      <c r="J16" s="2442"/>
      <c r="K16" s="2442"/>
      <c r="L16" s="2442"/>
      <c r="M16" s="2442"/>
      <c r="N16" s="2442"/>
      <c r="O16" s="2390" t="s">
        <v>1090</v>
      </c>
      <c r="P16" s="2437"/>
      <c r="Q16" s="2390" t="s">
        <v>1092</v>
      </c>
      <c r="R16" s="2437"/>
      <c r="S16" s="2390" t="s">
        <v>1096</v>
      </c>
      <c r="T16" s="2437"/>
      <c r="U16" s="2390" t="s">
        <v>1101</v>
      </c>
      <c r="V16" s="2437"/>
      <c r="W16" s="2390" t="s">
        <v>1104</v>
      </c>
      <c r="X16" s="2437"/>
      <c r="Y16" s="2390" t="s">
        <v>1108</v>
      </c>
      <c r="Z16" s="2437"/>
      <c r="AA16" s="2390" t="s">
        <v>1111</v>
      </c>
      <c r="AB16" s="2437"/>
      <c r="AC16" s="2438"/>
      <c r="AD16" s="2438"/>
      <c r="AE16" s="2438"/>
      <c r="AF16" s="2438"/>
      <c r="AG16" s="2438"/>
      <c r="AH16" s="2438"/>
      <c r="AI16" s="2438"/>
      <c r="AJ16" s="2438"/>
      <c r="AK16" s="2438"/>
      <c r="AL16" s="2438"/>
      <c r="AM16" s="2438"/>
      <c r="AN16" s="2438"/>
      <c r="AO16" s="2438"/>
      <c r="AP16" s="2438"/>
      <c r="AQ16" s="2438"/>
      <c r="AR16" s="2438"/>
      <c r="AS16" s="2438"/>
      <c r="AT16" s="2438"/>
      <c r="AU16" s="2438"/>
      <c r="AV16" s="2438"/>
      <c r="AW16" s="2438"/>
      <c r="AX16" s="2438"/>
      <c r="AY16" s="2438"/>
      <c r="AZ16" s="2438"/>
      <c r="BA16" s="2438"/>
      <c r="BB16" s="2438"/>
      <c r="BC16" s="2438"/>
      <c r="BD16" s="2438"/>
      <c r="BE16" s="2438"/>
      <c r="BF16" s="2438"/>
      <c r="BG16" s="2438"/>
      <c r="BH16" s="2438"/>
      <c r="BI16" s="2438"/>
      <c r="BJ16" s="2438"/>
      <c r="BK16" s="2438"/>
      <c r="BL16" s="2438"/>
      <c r="BM16" s="2438"/>
      <c r="BN16" s="2438"/>
      <c r="BO16" s="2438"/>
      <c r="BP16" s="2438"/>
      <c r="BQ16" s="2438"/>
      <c r="BR16" s="2438"/>
      <c r="BS16" s="2457"/>
      <c r="BT16" s="2390" t="s">
        <v>576</v>
      </c>
      <c r="BU16" s="2437"/>
      <c r="BV16" s="2390" t="s">
        <v>576</v>
      </c>
      <c r="BW16" s="2437"/>
      <c r="BX16" s="2390" t="s">
        <v>576</v>
      </c>
      <c r="BY16" s="2437"/>
      <c r="BZ16" s="2390" t="s">
        <v>576</v>
      </c>
      <c r="CA16" s="2437"/>
      <c r="CB16" s="2390" t="s">
        <v>1422</v>
      </c>
      <c r="CC16" s="2437"/>
      <c r="CD16" s="2390" t="s">
        <v>576</v>
      </c>
      <c r="CE16" s="2437"/>
      <c r="CF16" s="2390" t="s">
        <v>1423</v>
      </c>
      <c r="CG16" s="2437"/>
      <c r="CH16" s="2390" t="s">
        <v>1424</v>
      </c>
      <c r="CI16" s="2437"/>
      <c r="CJ16" s="2390" t="s">
        <v>1424</v>
      </c>
      <c r="CK16" s="2437"/>
      <c r="CL16" s="2440"/>
      <c r="CM16" s="2438"/>
      <c r="CN16" s="2438"/>
      <c r="CO16" s="2438"/>
      <c r="CP16" s="2438"/>
      <c r="CQ16" s="2438"/>
      <c r="CR16" s="2438"/>
      <c r="CS16" s="2438"/>
      <c r="CT16" s="2438"/>
      <c r="CU16" s="2438"/>
      <c r="CV16" s="2438"/>
      <c r="CW16" s="2438"/>
      <c r="CX16" s="2457"/>
      <c r="CY16" s="2340" t="s">
        <v>576</v>
      </c>
      <c r="CZ16" s="2392"/>
      <c r="DA16" s="2340" t="s">
        <v>576</v>
      </c>
      <c r="DB16" s="2392"/>
      <c r="DC16" s="2340" t="s">
        <v>576</v>
      </c>
      <c r="DD16" s="2392"/>
      <c r="DE16" s="2390" t="s">
        <v>1422</v>
      </c>
      <c r="DF16" s="2437"/>
      <c r="DG16" s="2390" t="s">
        <v>1425</v>
      </c>
      <c r="DH16" s="2437"/>
      <c r="DI16" s="2390" t="s">
        <v>1425</v>
      </c>
      <c r="DJ16" s="2437"/>
      <c r="DK16" s="2440"/>
      <c r="DL16" s="2438"/>
      <c r="DM16" s="2438"/>
      <c r="DN16" s="2438"/>
      <c r="DO16" s="2438"/>
      <c r="DP16" s="2438"/>
      <c r="DQ16" s="2438"/>
      <c r="DR16" s="2438"/>
      <c r="DS16" s="2438"/>
      <c r="DT16" s="2438"/>
      <c r="DU16" s="2438"/>
      <c r="DV16" s="2438"/>
      <c r="DW16" s="2438"/>
      <c r="DX16" s="2438"/>
      <c r="DY16" s="2438"/>
      <c r="DZ16" s="2438"/>
      <c r="EA16" s="2438"/>
      <c r="EB16" s="2438"/>
      <c r="EC16" s="2438"/>
      <c r="ED16" s="2438"/>
      <c r="EE16" s="2438"/>
      <c r="EF16" s="2438"/>
      <c r="EG16" s="2438"/>
      <c r="EH16" s="2438"/>
      <c r="EI16" s="2438"/>
      <c r="EJ16" s="2438"/>
      <c r="EK16" s="2438"/>
      <c r="EL16" s="2438"/>
      <c r="EM16" s="2438"/>
      <c r="EN16" s="2438"/>
      <c r="EO16" s="2438"/>
      <c r="EP16" s="2438"/>
      <c r="EQ16" s="2438"/>
      <c r="ER16" s="2438"/>
      <c r="ES16" s="2438"/>
      <c r="ET16" s="2438"/>
      <c r="EU16" s="2438"/>
      <c r="EV16" s="2438"/>
      <c r="EW16" s="2438"/>
      <c r="EX16" s="2438"/>
      <c r="EY16" s="2438"/>
      <c r="EZ16" s="2438"/>
      <c r="FA16" s="2438"/>
      <c r="FB16" s="2438"/>
      <c r="FC16" s="2438"/>
      <c r="FD16" s="2438"/>
      <c r="FE16" s="2438"/>
      <c r="FF16" s="2438"/>
      <c r="FG16" s="2438"/>
      <c r="FH16" s="2438"/>
      <c r="FI16" s="2438"/>
      <c r="FJ16" s="2438"/>
      <c r="FK16" s="2438"/>
      <c r="FL16" s="2438"/>
      <c r="FM16" s="2438"/>
      <c r="FN16" s="2438"/>
      <c r="FO16" s="2438"/>
      <c r="FP16" s="2438"/>
      <c r="FQ16" s="2438"/>
      <c r="FR16" s="2438"/>
      <c r="FS16" s="2438"/>
      <c r="FT16" s="2438"/>
      <c r="FU16" s="2438"/>
      <c r="FV16" s="2438"/>
      <c r="FW16" s="2452"/>
      <c r="FX16" s="766"/>
      <c r="GC16" s="930">
        <v>12</v>
      </c>
    </row>
    <row customHeight="1" ht="15.75">
      <c r="E17" s="941"/>
      <c r="F17" s="2209"/>
      <c r="G17" s="2209"/>
      <c r="H17" s="2441"/>
      <c r="I17" s="2441"/>
      <c r="J17" s="2442"/>
      <c r="K17" s="2442"/>
      <c r="L17" s="2442"/>
      <c r="M17" s="2442"/>
      <c r="N17" s="2442"/>
      <c r="O17" s="1195" t="s">
        <v>1426</v>
      </c>
      <c r="P17" s="1195" t="s">
        <v>1427</v>
      </c>
      <c r="Q17" s="1195" t="s">
        <v>1426</v>
      </c>
      <c r="R17" s="1195" t="s">
        <v>1427</v>
      </c>
      <c r="S17" s="1195" t="s">
        <v>1426</v>
      </c>
      <c r="T17" s="1195" t="s">
        <v>1427</v>
      </c>
      <c r="U17" s="1195" t="s">
        <v>1426</v>
      </c>
      <c r="V17" s="1195" t="s">
        <v>1427</v>
      </c>
      <c r="W17" s="1195" t="s">
        <v>1426</v>
      </c>
      <c r="X17" s="1195" t="s">
        <v>1427</v>
      </c>
      <c r="Y17" s="1195" t="s">
        <v>1426</v>
      </c>
      <c r="Z17" s="1195" t="s">
        <v>1427</v>
      </c>
      <c r="AA17" s="1195" t="s">
        <v>1426</v>
      </c>
      <c r="AB17" s="1195" t="s">
        <v>1427</v>
      </c>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8"/>
      <c r="AZ17" s="2438"/>
      <c r="BA17" s="2438"/>
      <c r="BB17" s="2438"/>
      <c r="BC17" s="2438"/>
      <c r="BD17" s="2438"/>
      <c r="BE17" s="2438"/>
      <c r="BF17" s="2438"/>
      <c r="BG17" s="2438"/>
      <c r="BH17" s="2438"/>
      <c r="BI17" s="2438"/>
      <c r="BJ17" s="2438"/>
      <c r="BK17" s="2438"/>
      <c r="BL17" s="2438"/>
      <c r="BM17" s="2438"/>
      <c r="BN17" s="2438"/>
      <c r="BO17" s="2438"/>
      <c r="BP17" s="2438"/>
      <c r="BQ17" s="2438"/>
      <c r="BR17" s="2438"/>
      <c r="BS17" s="2457"/>
      <c r="BT17" s="1195" t="s">
        <v>1426</v>
      </c>
      <c r="BU17" s="1195" t="s">
        <v>1427</v>
      </c>
      <c r="BV17" s="1195" t="s">
        <v>1426</v>
      </c>
      <c r="BW17" s="1195" t="s">
        <v>1427</v>
      </c>
      <c r="BX17" s="1195" t="s">
        <v>1426</v>
      </c>
      <c r="BY17" s="1195" t="s">
        <v>1427</v>
      </c>
      <c r="BZ17" s="1195" t="s">
        <v>1426</v>
      </c>
      <c r="CA17" s="1195" t="s">
        <v>1427</v>
      </c>
      <c r="CB17" s="1195" t="s">
        <v>1426</v>
      </c>
      <c r="CC17" s="1195" t="s">
        <v>1427</v>
      </c>
      <c r="CD17" s="1195" t="s">
        <v>1426</v>
      </c>
      <c r="CE17" s="1195" t="s">
        <v>1427</v>
      </c>
      <c r="CF17" s="1195" t="s">
        <v>1426</v>
      </c>
      <c r="CG17" s="1195" t="s">
        <v>1427</v>
      </c>
      <c r="CH17" s="1195" t="s">
        <v>1426</v>
      </c>
      <c r="CI17" s="1195" t="s">
        <v>1427</v>
      </c>
      <c r="CJ17" s="1195" t="s">
        <v>1426</v>
      </c>
      <c r="CK17" s="1195" t="s">
        <v>1427</v>
      </c>
      <c r="CL17" s="2440"/>
      <c r="CM17" s="2438"/>
      <c r="CN17" s="2438"/>
      <c r="CO17" s="2438"/>
      <c r="CP17" s="2438"/>
      <c r="CQ17" s="2438"/>
      <c r="CR17" s="2438"/>
      <c r="CS17" s="2438"/>
      <c r="CT17" s="2438"/>
      <c r="CU17" s="2438"/>
      <c r="CV17" s="2438"/>
      <c r="CW17" s="2438"/>
      <c r="CX17" s="2457"/>
      <c r="CY17" s="1195" t="s">
        <v>1426</v>
      </c>
      <c r="CZ17" s="1195" t="s">
        <v>1427</v>
      </c>
      <c r="DA17" s="1195" t="s">
        <v>1426</v>
      </c>
      <c r="DB17" s="1195" t="s">
        <v>1427</v>
      </c>
      <c r="DC17" s="1195" t="s">
        <v>1426</v>
      </c>
      <c r="DD17" s="1195" t="s">
        <v>1427</v>
      </c>
      <c r="DE17" s="1195" t="s">
        <v>1426</v>
      </c>
      <c r="DF17" s="1195" t="s">
        <v>1427</v>
      </c>
      <c r="DG17" s="1195" t="s">
        <v>1426</v>
      </c>
      <c r="DH17" s="1195" t="s">
        <v>1427</v>
      </c>
      <c r="DI17" s="1195" t="s">
        <v>1426</v>
      </c>
      <c r="DJ17" s="1195" t="s">
        <v>1427</v>
      </c>
      <c r="DK17" s="2440"/>
      <c r="DL17" s="2438"/>
      <c r="DM17" s="2438"/>
      <c r="DN17" s="2438"/>
      <c r="DO17" s="2438"/>
      <c r="DP17" s="2438"/>
      <c r="DQ17" s="2438"/>
      <c r="DR17" s="2438"/>
      <c r="DS17" s="2438"/>
      <c r="DT17" s="2438"/>
      <c r="DU17" s="2438"/>
      <c r="DV17" s="2438"/>
      <c r="DW17" s="2438"/>
      <c r="DX17" s="2438"/>
      <c r="DY17" s="2438"/>
      <c r="DZ17" s="2438"/>
      <c r="EA17" s="2438"/>
      <c r="EB17" s="2438"/>
      <c r="EC17" s="2438"/>
      <c r="ED17" s="2438"/>
      <c r="EE17" s="2438"/>
      <c r="EF17" s="2438"/>
      <c r="EG17" s="2438"/>
      <c r="EH17" s="2438"/>
      <c r="EI17" s="2438"/>
      <c r="EJ17" s="2438"/>
      <c r="EK17" s="2438"/>
      <c r="EL17" s="2438"/>
      <c r="EM17" s="2438"/>
      <c r="EN17" s="2438"/>
      <c r="EO17" s="2438"/>
      <c r="EP17" s="2438"/>
      <c r="EQ17" s="2438"/>
      <c r="ER17" s="2438"/>
      <c r="ES17" s="2438"/>
      <c r="ET17" s="2438"/>
      <c r="EU17" s="2438"/>
      <c r="EV17" s="2438"/>
      <c r="EW17" s="2438"/>
      <c r="EX17" s="2438"/>
      <c r="EY17" s="2438"/>
      <c r="EZ17" s="2438"/>
      <c r="FA17" s="2438"/>
      <c r="FB17" s="2438"/>
      <c r="FC17" s="2438"/>
      <c r="FD17" s="2438"/>
      <c r="FE17" s="2438"/>
      <c r="FF17" s="2438"/>
      <c r="FG17" s="2438"/>
      <c r="FH17" s="2438"/>
      <c r="FI17" s="2438"/>
      <c r="FJ17" s="2438"/>
      <c r="FK17" s="2438"/>
      <c r="FL17" s="2438"/>
      <c r="FM17" s="2438"/>
      <c r="FN17" s="2438"/>
      <c r="FO17" s="2438"/>
      <c r="FP17" s="2438"/>
      <c r="FQ17" s="2438"/>
      <c r="FR17" s="2438"/>
      <c r="FS17" s="2438"/>
      <c r="FT17" s="2438"/>
      <c r="FU17" s="2438"/>
      <c r="FV17" s="2438"/>
      <c r="FW17" s="2453"/>
      <c r="FX17" s="766"/>
      <c r="GC17" s="930">
        <v>15</v>
      </c>
    </row>
    <row s="929" customFormat="1" customHeight="1" ht="12" hidden="1">
      <c r="B18" s="927"/>
      <c r="E18" s="943"/>
      <c r="F18" s="1196"/>
      <c r="G18" s="1196"/>
      <c r="H18" s="1196"/>
      <c r="I18" s="1196"/>
      <c r="J18" s="1197"/>
      <c r="K18" s="1197"/>
      <c r="L18" s="1197"/>
      <c r="M18" s="1197"/>
      <c r="N18" s="1197"/>
      <c r="O18" s="1196"/>
      <c r="P18" s="1196"/>
      <c r="Q18" s="1196"/>
      <c r="R18" s="1196"/>
      <c r="S18" s="1196"/>
      <c r="T18" s="1196"/>
      <c r="U18" s="1198"/>
      <c r="V18" s="1198"/>
      <c r="W18" s="1198"/>
      <c r="X18" s="1198"/>
      <c r="Y18" s="1198"/>
      <c r="Z18" s="1198"/>
      <c r="AA18" s="1198"/>
      <c r="AB18" s="1196"/>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9"/>
      <c r="BU18" s="1199"/>
      <c r="BV18" s="1199"/>
      <c r="BW18" s="1199"/>
      <c r="BX18" s="1199"/>
      <c r="BY18" s="1199"/>
      <c r="BZ18" s="1199"/>
      <c r="CA18" s="1199"/>
      <c r="CB18" s="1199"/>
      <c r="CC18" s="1199"/>
      <c r="CD18" s="1199"/>
      <c r="CE18" s="1199"/>
      <c r="CF18" s="1199"/>
      <c r="CG18" s="1199"/>
      <c r="CH18" s="1199"/>
      <c r="CI18" s="1199"/>
      <c r="CJ18" s="1199"/>
      <c r="CK18" s="1199"/>
      <c r="CL18" s="1197"/>
      <c r="CM18" s="1197"/>
      <c r="CN18" s="1197"/>
      <c r="CO18" s="1197"/>
      <c r="CP18" s="1197"/>
      <c r="CQ18" s="1197"/>
      <c r="CR18" s="1197"/>
      <c r="CS18" s="1197"/>
      <c r="CT18" s="1197"/>
      <c r="CU18" s="1197"/>
      <c r="CV18" s="1197"/>
      <c r="CW18" s="1197"/>
      <c r="CX18" s="1197"/>
      <c r="CY18" s="1199"/>
      <c r="CZ18" s="1199"/>
      <c r="DA18" s="1199"/>
      <c r="DB18" s="1199"/>
      <c r="DC18" s="1199"/>
      <c r="DD18" s="1199"/>
      <c r="DE18" s="1199"/>
      <c r="DF18" s="1199"/>
      <c r="DG18" s="1199"/>
      <c r="DH18" s="1199"/>
      <c r="DI18" s="1199"/>
      <c r="DJ18" s="1199"/>
      <c r="DK18" s="1197"/>
      <c r="DL18" s="1197"/>
      <c r="DM18" s="1197"/>
      <c r="DN18" s="1197"/>
      <c r="DO18" s="1197"/>
      <c r="DP18" s="1197"/>
      <c r="DQ18" s="1197"/>
      <c r="DR18" s="1197"/>
      <c r="DS18" s="1197"/>
      <c r="DT18" s="1197"/>
      <c r="DU18" s="1197"/>
      <c r="DV18" s="1197"/>
      <c r="DW18" s="1197"/>
      <c r="DX18" s="1197"/>
      <c r="DY18" s="1197"/>
      <c r="DZ18" s="1197"/>
      <c r="EA18" s="1197"/>
      <c r="EB18" s="1197"/>
      <c r="EC18" s="1197"/>
      <c r="ED18" s="1197"/>
      <c r="EE18" s="1197"/>
      <c r="EF18" s="1197"/>
      <c r="EG18" s="1197"/>
      <c r="EH18" s="1197"/>
      <c r="EI18" s="1197"/>
      <c r="EJ18" s="1197"/>
      <c r="EK18" s="1197"/>
      <c r="EL18" s="1197"/>
      <c r="EM18" s="1197"/>
      <c r="EN18" s="1197"/>
      <c r="EO18" s="1197"/>
      <c r="EP18" s="1197"/>
      <c r="EQ18" s="1197"/>
      <c r="ER18" s="1197"/>
      <c r="ES18" s="1197"/>
      <c r="ET18" s="1197"/>
      <c r="EU18" s="1197"/>
      <c r="EV18" s="1197"/>
      <c r="EW18" s="1197"/>
      <c r="EX18" s="1197"/>
      <c r="EY18" s="1197"/>
      <c r="EZ18" s="1197"/>
      <c r="FA18" s="1197"/>
      <c r="FB18" s="1197"/>
      <c r="FC18" s="1197"/>
      <c r="FD18" s="1197"/>
      <c r="FE18" s="1197"/>
      <c r="FF18" s="1197"/>
      <c r="FG18" s="1197"/>
      <c r="FH18" s="1197"/>
      <c r="FI18" s="1197"/>
      <c r="FJ18" s="1197"/>
      <c r="FK18" s="1197"/>
      <c r="FL18" s="1197"/>
      <c r="FM18" s="1197"/>
      <c r="FN18" s="1197"/>
      <c r="FO18" s="1197"/>
      <c r="FP18" s="1197"/>
      <c r="FQ18" s="1197"/>
      <c r="FR18" s="1197"/>
      <c r="FS18" s="1197"/>
      <c r="FT18" s="1197"/>
      <c r="FU18" s="1197"/>
      <c r="FV18" s="1197"/>
      <c r="FW18" s="1196"/>
      <c r="FX18" s="1200"/>
      <c r="GC18" s="928">
        <v>0</v>
      </c>
    </row>
    <row s="929" customFormat="1" customHeight="1" ht="11.25" hidden="1">
      <c r="B19" s="927"/>
      <c r="E19" s="943"/>
      <c r="F19" s="1196"/>
      <c r="G19" s="1196"/>
      <c r="H19" s="1196"/>
      <c r="I19" s="1196"/>
      <c r="J19" s="1196"/>
      <c r="K19" s="1196"/>
      <c r="L19" s="1196"/>
      <c r="M19" s="1196"/>
      <c r="N19" s="1196"/>
      <c r="O19" s="1196"/>
      <c r="P19" s="1196"/>
      <c r="Q19" s="1196"/>
      <c r="R19" s="1196"/>
      <c r="S19" s="1196"/>
      <c r="T19" s="1196"/>
      <c r="U19" s="1198"/>
      <c r="V19" s="1198"/>
      <c r="W19" s="1198"/>
      <c r="X19" s="1198"/>
      <c r="Y19" s="1198"/>
      <c r="Z19" s="1198"/>
      <c r="AA19" s="1198"/>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200"/>
      <c r="GC19" s="928">
        <v>0</v>
      </c>
    </row>
    <row s="929" customFormat="1" customHeight="1" ht="11.25" hidden="1">
      <c r="B20" s="944"/>
      <c r="D20" s="928"/>
      <c r="E20" s="943"/>
      <c r="F20" s="1201" t="s">
        <v>394</v>
      </c>
      <c r="G20" s="1202"/>
      <c r="H20" s="1203"/>
      <c r="I20" s="1203"/>
      <c r="J20" s="1203"/>
      <c r="K20" s="1203"/>
      <c r="L20" s="1203"/>
      <c r="M20" s="1203"/>
      <c r="N20" s="1203"/>
      <c r="O20" s="1202"/>
      <c r="P20" s="1202"/>
      <c r="Q20" s="1202"/>
      <c r="R20" s="1202"/>
      <c r="S20" s="1202"/>
      <c r="T20" s="1202"/>
      <c r="U20" s="1204"/>
      <c r="V20" s="1204"/>
      <c r="W20" s="1204"/>
      <c r="X20" s="1204"/>
      <c r="Y20" s="1204"/>
      <c r="Z20" s="1204"/>
      <c r="AA20" s="1204"/>
      <c r="AB20" s="1202"/>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203"/>
      <c r="BW20" s="1203"/>
      <c r="BX20" s="1203"/>
      <c r="BY20" s="1203"/>
      <c r="BZ20" s="1203"/>
      <c r="CA20" s="1203"/>
      <c r="CB20" s="1203"/>
      <c r="CC20" s="1203"/>
      <c r="CD20" s="1203"/>
      <c r="CE20" s="1203"/>
      <c r="CF20" s="1203"/>
      <c r="CG20" s="1203"/>
      <c r="CH20" s="1203"/>
      <c r="CI20" s="1203"/>
      <c r="CJ20" s="1203"/>
      <c r="CK20" s="1203"/>
      <c r="CL20" s="1205"/>
      <c r="CM20" s="1205"/>
      <c r="CN20" s="1205"/>
      <c r="CO20" s="1205"/>
      <c r="CP20" s="1205"/>
      <c r="CQ20" s="1205"/>
      <c r="CR20" s="1205"/>
      <c r="CS20" s="1205"/>
      <c r="CT20" s="1205"/>
      <c r="CU20" s="1205"/>
      <c r="CV20" s="1205"/>
      <c r="CW20" s="1205"/>
      <c r="CX20" s="1205"/>
      <c r="CY20" s="1205"/>
      <c r="CZ20" s="1205"/>
      <c r="DA20" s="1205"/>
      <c r="DB20" s="1205"/>
      <c r="DC20" s="1205"/>
      <c r="DD20" s="1205"/>
      <c r="DE20" s="1205"/>
      <c r="DF20" s="1205"/>
      <c r="DG20" s="1205"/>
      <c r="DH20" s="1205"/>
      <c r="DI20" s="1205"/>
      <c r="DJ20" s="1205"/>
      <c r="DK20" s="1205"/>
      <c r="DL20" s="1205"/>
      <c r="DM20" s="1205"/>
      <c r="DN20" s="1205"/>
      <c r="DO20" s="1205"/>
      <c r="DP20" s="1205"/>
      <c r="DQ20" s="1205"/>
      <c r="DR20" s="1205"/>
      <c r="DS20" s="1205"/>
      <c r="DT20" s="1205"/>
      <c r="DU20" s="1205"/>
      <c r="DV20" s="1205"/>
      <c r="DW20" s="1205"/>
      <c r="DX20" s="1205"/>
      <c r="DY20" s="1205"/>
      <c r="DZ20" s="1205"/>
      <c r="EA20" s="1205"/>
      <c r="EB20" s="1205"/>
      <c r="EC20" s="1205"/>
      <c r="ED20" s="1205"/>
      <c r="EE20" s="1205"/>
      <c r="EF20" s="1205"/>
      <c r="EG20" s="1205"/>
      <c r="EH20" s="1205"/>
      <c r="EI20" s="1205"/>
      <c r="EJ20" s="1205"/>
      <c r="EK20" s="1205"/>
      <c r="EL20" s="1205"/>
      <c r="EM20" s="1205"/>
      <c r="EN20" s="1205"/>
      <c r="EO20" s="1205"/>
      <c r="EP20" s="1205"/>
      <c r="EQ20" s="1205"/>
      <c r="ER20" s="1205"/>
      <c r="ES20" s="1205"/>
      <c r="ET20" s="1205"/>
      <c r="EU20" s="1205"/>
      <c r="EV20" s="1205"/>
      <c r="EW20" s="1205"/>
      <c r="EX20" s="1205"/>
      <c r="EY20" s="1205"/>
      <c r="EZ20" s="1205"/>
      <c r="FA20" s="1205"/>
      <c r="FB20" s="1205"/>
      <c r="FC20" s="1205"/>
      <c r="FD20" s="1205"/>
      <c r="FE20" s="1205"/>
      <c r="FF20" s="1205"/>
      <c r="FG20" s="1205"/>
      <c r="FH20" s="1205"/>
      <c r="FI20" s="1205"/>
      <c r="FJ20" s="1205"/>
      <c r="FK20" s="1205"/>
      <c r="FL20" s="1205"/>
      <c r="FM20" s="1205"/>
      <c r="FN20" s="1205"/>
      <c r="FO20" s="1205"/>
      <c r="FP20" s="1205"/>
      <c r="FQ20" s="1205"/>
      <c r="FR20" s="1205"/>
      <c r="FS20" s="1205"/>
      <c r="FT20" s="1205"/>
      <c r="FU20" s="1205"/>
      <c r="FV20" s="1205"/>
      <c r="FW20" s="1205"/>
      <c r="FX20" s="1206"/>
      <c r="GC20" s="926">
        <v>0</v>
      </c>
    </row>
    <row s="929" customFormat="1" customHeight="1" ht="21">
      <c r="A21" s="1328" t="s">
        <v>1261</v>
      </c>
      <c r="B21" s="944"/>
      <c r="C21" s="929"/>
      <c r="D21" s="929"/>
      <c r="E21" s="943" t="s">
        <v>22</v>
      </c>
      <c r="F21" s="1125" t="str">
        <f>INDEX(IP_MAIN_LIST_NAME_IP,MATCH(A21,IP_MAIN_LIST_IP_ID,0))&amp;" ("&amp;INDEX(IP_MAIN_START_DATE,MATCH(A21,IP_MAIN_LIST_IP_ID,0))&amp;"-"&amp;INDEX(IP_MAIN_END_DATE,MATCH(A21,IP_MAIN_LIST_IP_ID,0))&amp;")"</f>
        <v>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 (01.01.2023-31.12.2047)</v>
      </c>
      <c r="G21" s="1207"/>
      <c r="H21" s="1208"/>
      <c r="I21" s="1208"/>
      <c r="J21" s="1208"/>
      <c r="K21" s="1208"/>
      <c r="L21" s="1208"/>
      <c r="M21" s="1208"/>
      <c r="N21" s="1208"/>
      <c r="O21" s="1207"/>
      <c r="P21" s="1207"/>
      <c r="Q21" s="1207"/>
      <c r="R21" s="1207"/>
      <c r="S21" s="1207"/>
      <c r="T21" s="1207"/>
      <c r="U21" s="1209"/>
      <c r="V21" s="1209"/>
      <c r="W21" s="1209"/>
      <c r="X21" s="1209"/>
      <c r="Y21" s="1209"/>
      <c r="Z21" s="1209"/>
      <c r="AA21" s="1209"/>
      <c r="AB21" s="1207"/>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c r="BH21" s="1208"/>
      <c r="BI21" s="1208"/>
      <c r="BJ21" s="1208"/>
      <c r="BK21" s="1208"/>
      <c r="BL21" s="1208"/>
      <c r="BM21" s="1208"/>
      <c r="BN21" s="1208"/>
      <c r="BO21" s="1208"/>
      <c r="BP21" s="1208"/>
      <c r="BQ21" s="1208"/>
      <c r="BR21" s="1208"/>
      <c r="BS21" s="1208"/>
      <c r="BT21" s="1208"/>
      <c r="BU21" s="1208"/>
      <c r="BV21" s="1208"/>
      <c r="BW21" s="1208"/>
      <c r="BX21" s="1208"/>
      <c r="BY21" s="1208"/>
      <c r="BZ21" s="1208"/>
      <c r="CA21" s="1208"/>
      <c r="CB21" s="1208"/>
      <c r="CC21" s="1208"/>
      <c r="CD21" s="1208"/>
      <c r="CE21" s="1208"/>
      <c r="CF21" s="1208"/>
      <c r="CG21" s="1208"/>
      <c r="CH21" s="1208"/>
      <c r="CI21" s="1208"/>
      <c r="CJ21" s="1208"/>
      <c r="CK21" s="1208"/>
      <c r="CL21" s="1210"/>
      <c r="CM21" s="1210"/>
      <c r="CN21" s="1210"/>
      <c r="CO21" s="1210"/>
      <c r="CP21" s="1210"/>
      <c r="CQ21" s="1210"/>
      <c r="CR21" s="1210"/>
      <c r="CS21" s="1210"/>
      <c r="CT21" s="1210"/>
      <c r="CU21" s="1210"/>
      <c r="CV21" s="1210"/>
      <c r="CW21" s="1210"/>
      <c r="CX21" s="1210"/>
      <c r="CY21" s="1210"/>
      <c r="CZ21" s="1210"/>
      <c r="DA21" s="1210"/>
      <c r="DB21" s="1210"/>
      <c r="DC21" s="1210"/>
      <c r="DD21" s="1210"/>
      <c r="DE21" s="1210"/>
      <c r="DF21" s="1210"/>
      <c r="DG21" s="1210"/>
      <c r="DH21" s="1210"/>
      <c r="DI21" s="1210"/>
      <c r="DJ21" s="1210"/>
      <c r="DK21" s="1210"/>
      <c r="DL21" s="1210"/>
      <c r="DM21" s="1210"/>
      <c r="DN21" s="1210"/>
      <c r="DO21" s="1210"/>
      <c r="DP21" s="1210"/>
      <c r="DQ21" s="1210"/>
      <c r="DR21" s="1210"/>
      <c r="DS21" s="1210"/>
      <c r="DT21" s="1210"/>
      <c r="DU21" s="1210"/>
      <c r="DV21" s="1210"/>
      <c r="DW21" s="1210"/>
      <c r="DX21" s="1210"/>
      <c r="DY21" s="1210"/>
      <c r="DZ21" s="1210"/>
      <c r="EA21" s="1210"/>
      <c r="EB21" s="1210"/>
      <c r="EC21" s="1210"/>
      <c r="ED21" s="1210"/>
      <c r="EE21" s="1210"/>
      <c r="EF21" s="1210"/>
      <c r="EG21" s="1210"/>
      <c r="EH21" s="1210"/>
      <c r="EI21" s="1210"/>
      <c r="EJ21" s="1210"/>
      <c r="EK21" s="1210"/>
      <c r="EL21" s="1210"/>
      <c r="EM21" s="1210"/>
      <c r="EN21" s="1210"/>
      <c r="EO21" s="1210"/>
      <c r="EP21" s="1210"/>
      <c r="EQ21" s="1210"/>
      <c r="ER21" s="1210"/>
      <c r="ES21" s="1210"/>
      <c r="ET21" s="1210"/>
      <c r="EU21" s="1210"/>
      <c r="EV21" s="1210"/>
      <c r="EW21" s="1210"/>
      <c r="EX21" s="1210"/>
      <c r="EY21" s="1210"/>
      <c r="EZ21" s="1210"/>
      <c r="FA21" s="1210"/>
      <c r="FB21" s="1210"/>
      <c r="FC21" s="1210"/>
      <c r="FD21" s="1210"/>
      <c r="FE21" s="1210"/>
      <c r="FF21" s="1210"/>
      <c r="FG21" s="1210"/>
      <c r="FH21" s="1210"/>
      <c r="FI21" s="1210"/>
      <c r="FJ21" s="1210"/>
      <c r="FK21" s="1210"/>
      <c r="FL21" s="1210"/>
      <c r="FM21" s="1210"/>
      <c r="FN21" s="1210"/>
      <c r="FO21" s="1210"/>
      <c r="FP21" s="1210"/>
      <c r="FQ21" s="1210"/>
      <c r="FR21" s="1210"/>
      <c r="FS21" s="1210"/>
      <c r="FT21" s="1210"/>
      <c r="FU21" s="1210"/>
      <c r="FV21" s="1211"/>
      <c r="FW21" s="1205"/>
      <c r="FX21" s="1206"/>
      <c r="FY21" s="929"/>
      <c r="FZ21" s="929"/>
      <c r="GA21" s="929"/>
      <c r="GB21" s="929"/>
    </row>
    <row s="929" customFormat="1" customHeight="1" ht="110.83333333333333">
      <c r="A22" s="929" t="s">
        <v>1261</v>
      </c>
      <c r="B22" s="944"/>
      <c r="C22" s="929"/>
      <c r="D22" s="929"/>
      <c r="E22" s="1854"/>
      <c r="F22" s="2393">
        <v>1</v>
      </c>
      <c r="G22" s="2566" t="s">
        <v>1428</v>
      </c>
      <c r="H22" s="1214" t="s">
        <v>1429</v>
      </c>
      <c r="I22" s="1986"/>
      <c r="J22" s="1215"/>
      <c r="K22" s="1215"/>
      <c r="L22" s="1215"/>
      <c r="M22" s="1215"/>
      <c r="N22" s="1215"/>
      <c r="O22" s="1216">
        <v>1.18</v>
      </c>
      <c r="P22" s="1216">
        <v>1.179</v>
      </c>
      <c r="Q22" s="1216">
        <v>0.02</v>
      </c>
      <c r="R22" s="1216">
        <v>0.017</v>
      </c>
      <c r="S22" s="1216">
        <v>159.28</v>
      </c>
      <c r="T22" s="1216">
        <v>159.02</v>
      </c>
      <c r="U22" s="1216">
        <v>2.3</v>
      </c>
      <c r="V22" s="1216">
        <v>3.31</v>
      </c>
      <c r="W22" s="1216">
        <v>0</v>
      </c>
      <c r="X22" s="1216">
        <v>0</v>
      </c>
      <c r="Y22" s="1216">
        <v>735819.72</v>
      </c>
      <c r="Z22" s="1216">
        <v>939302.54</v>
      </c>
      <c r="AA22" s="1216"/>
      <c r="AB22" s="1216"/>
      <c r="AC22" s="1215"/>
      <c r="AD22" s="1215"/>
      <c r="AE22" s="1215"/>
      <c r="AF22" s="1215"/>
      <c r="AG22" s="1215"/>
      <c r="AH22" s="1215"/>
      <c r="AI22" s="1215"/>
      <c r="AJ22" s="1215"/>
      <c r="AK22" s="1215"/>
      <c r="AL22" s="1215"/>
      <c r="AM22" s="1215"/>
      <c r="AN22" s="1215"/>
      <c r="AO22" s="1215"/>
      <c r="AP22" s="1215"/>
      <c r="AQ22" s="1215"/>
      <c r="AR22" s="1215"/>
      <c r="AS22" s="1215"/>
      <c r="AT22" s="1215"/>
      <c r="AU22" s="1215"/>
      <c r="AV22" s="1215"/>
      <c r="AW22" s="1215"/>
      <c r="AX22" s="1215"/>
      <c r="AY22" s="1215"/>
      <c r="AZ22" s="1215"/>
      <c r="BA22" s="1215"/>
      <c r="BB22" s="1215"/>
      <c r="BC22" s="1215"/>
      <c r="BD22" s="1215"/>
      <c r="BE22" s="1215"/>
      <c r="BF22" s="1215"/>
      <c r="BG22" s="1215"/>
      <c r="BH22" s="1215"/>
      <c r="BI22" s="1215"/>
      <c r="BJ22" s="1215"/>
      <c r="BK22" s="1215"/>
      <c r="BL22" s="1215"/>
      <c r="BM22" s="1215"/>
      <c r="BN22" s="1215"/>
      <c r="BO22" s="1215"/>
      <c r="BP22" s="1215"/>
      <c r="BQ22" s="1215"/>
      <c r="BR22" s="1215"/>
      <c r="BS22" s="1215"/>
      <c r="BT22" s="1216"/>
      <c r="BU22" s="1216"/>
      <c r="BV22" s="1216"/>
      <c r="BW22" s="1216"/>
      <c r="BX22" s="1216"/>
      <c r="BY22" s="1216"/>
      <c r="BZ22" s="1216"/>
      <c r="CA22" s="1216"/>
      <c r="CB22" s="1216"/>
      <c r="CC22" s="1216"/>
      <c r="CD22" s="1216"/>
      <c r="CE22" s="1216"/>
      <c r="CF22" s="1216"/>
      <c r="CG22" s="1216"/>
      <c r="CH22" s="1216"/>
      <c r="CI22" s="1216"/>
      <c r="CJ22" s="1216"/>
      <c r="CK22" s="1216"/>
      <c r="CL22" s="1215"/>
      <c r="CM22" s="1215"/>
      <c r="CN22" s="1215"/>
      <c r="CO22" s="1215"/>
      <c r="CP22" s="1215"/>
      <c r="CQ22" s="1215"/>
      <c r="CR22" s="1215"/>
      <c r="CS22" s="1215"/>
      <c r="CT22" s="1215"/>
      <c r="CU22" s="1215"/>
      <c r="CV22" s="1215"/>
      <c r="CW22" s="1215"/>
      <c r="CX22" s="1215"/>
      <c r="CY22" s="1216"/>
      <c r="CZ22" s="1216"/>
      <c r="DA22" s="1216"/>
      <c r="DB22" s="1216"/>
      <c r="DC22" s="1216"/>
      <c r="DD22" s="1216"/>
      <c r="DE22" s="1216"/>
      <c r="DF22" s="1216"/>
      <c r="DG22" s="1216"/>
      <c r="DH22" s="1216"/>
      <c r="DI22" s="1216"/>
      <c r="DJ22" s="1216"/>
      <c r="DK22" s="1215"/>
      <c r="DL22" s="1215"/>
      <c r="DM22" s="1215"/>
      <c r="DN22" s="1215"/>
      <c r="DO22" s="1215"/>
      <c r="DP22" s="1215"/>
      <c r="DQ22" s="1215"/>
      <c r="DR22" s="1215"/>
      <c r="DS22" s="1215"/>
      <c r="DT22" s="1215"/>
      <c r="DU22" s="1215"/>
      <c r="DV22" s="1215"/>
      <c r="DW22" s="1215"/>
      <c r="DX22" s="1215"/>
      <c r="DY22" s="1215"/>
      <c r="DZ22" s="1215"/>
      <c r="EA22" s="1215"/>
      <c r="EB22" s="1215"/>
      <c r="EC22" s="1215"/>
      <c r="ED22" s="1215"/>
      <c r="EE22" s="1215"/>
      <c r="EF22" s="1215"/>
      <c r="EG22" s="1215"/>
      <c r="EH22" s="1215"/>
      <c r="EI22" s="1215"/>
      <c r="EJ22" s="1215"/>
      <c r="EK22" s="1215"/>
      <c r="EL22" s="1215"/>
      <c r="EM22" s="1215"/>
      <c r="EN22" s="1215"/>
      <c r="EO22" s="1215"/>
      <c r="EP22" s="1215"/>
      <c r="EQ22" s="1215"/>
      <c r="ER22" s="1215"/>
      <c r="ES22" s="1215"/>
      <c r="ET22" s="1215"/>
      <c r="EU22" s="1215"/>
      <c r="EV22" s="1215"/>
      <c r="EW22" s="1215"/>
      <c r="EX22" s="1215"/>
      <c r="EY22" s="1215"/>
      <c r="EZ22" s="1215"/>
      <c r="FA22" s="1215"/>
      <c r="FB22" s="1215"/>
      <c r="FC22" s="1215"/>
      <c r="FD22" s="1215"/>
      <c r="FE22" s="1215"/>
      <c r="FF22" s="1215"/>
      <c r="FG22" s="1215"/>
      <c r="FH22" s="1215"/>
      <c r="FI22" s="1215"/>
      <c r="FJ22" s="1215"/>
      <c r="FK22" s="1215"/>
      <c r="FL22" s="1215"/>
      <c r="FM22" s="1215"/>
      <c r="FN22" s="1215"/>
      <c r="FO22" s="1215"/>
      <c r="FP22" s="1215"/>
      <c r="FQ22" s="1215"/>
      <c r="FR22" s="1215"/>
      <c r="FS22" s="1215"/>
      <c r="FT22" s="1215"/>
      <c r="FU22" s="1215"/>
      <c r="FV22" s="1215"/>
      <c r="FW22" s="1215"/>
      <c r="FX22" s="1206"/>
      <c r="FY22" s="929"/>
      <c r="FZ22" s="929"/>
      <c r="GA22" s="929"/>
      <c r="GB22" s="929"/>
    </row>
    <row s="929" customFormat="1" customHeight="1" ht="12">
      <c r="A23" s="929" t="s">
        <v>1261</v>
      </c>
      <c r="B23" s="944"/>
      <c r="C23" s="929"/>
      <c r="D23" s="929"/>
      <c r="E23" s="929"/>
      <c r="F23" s="2759"/>
      <c r="G23" s="2760" t="s">
        <v>1430</v>
      </c>
      <c r="H23" s="2761"/>
      <c r="I23" s="2762"/>
      <c r="J23" s="2763"/>
      <c r="K23" s="2764"/>
      <c r="L23" s="2765"/>
      <c r="M23" s="2766"/>
      <c r="N23" s="2767"/>
      <c r="O23" s="2768"/>
      <c r="P23" s="2769"/>
      <c r="Q23" s="2770"/>
      <c r="R23" s="2771"/>
      <c r="S23" s="2772"/>
      <c r="T23" s="2773"/>
      <c r="U23" s="2774"/>
      <c r="V23" s="2775"/>
      <c r="W23" s="2776"/>
      <c r="X23" s="2777"/>
      <c r="Y23" s="2778"/>
      <c r="Z23" s="2779"/>
      <c r="AA23" s="2780"/>
      <c r="AB23" s="2781"/>
      <c r="AC23" s="2782"/>
      <c r="AD23" s="2783"/>
      <c r="AE23" s="2784"/>
      <c r="AF23" s="2785"/>
      <c r="AG23" s="2786"/>
      <c r="AH23" s="2787"/>
      <c r="AI23" s="2788"/>
      <c r="AJ23" s="2789"/>
      <c r="AK23" s="2790"/>
      <c r="AL23" s="2791"/>
      <c r="AM23" s="2792"/>
      <c r="AN23" s="2793"/>
      <c r="AO23" s="2794"/>
      <c r="AP23" s="2795"/>
      <c r="AQ23" s="2796"/>
      <c r="AR23" s="2797"/>
      <c r="AS23" s="2798"/>
      <c r="AT23" s="2799"/>
      <c r="AU23" s="2800"/>
      <c r="AV23" s="2801"/>
      <c r="AW23" s="2802"/>
      <c r="AX23" s="2803"/>
      <c r="AY23" s="2804"/>
      <c r="AZ23" s="2805"/>
      <c r="BA23" s="2806"/>
      <c r="BB23" s="2807"/>
      <c r="BC23" s="2808"/>
      <c r="BD23" s="2809"/>
      <c r="BE23" s="2810"/>
      <c r="BF23" s="2811"/>
      <c r="BG23" s="2812"/>
      <c r="BH23" s="2813"/>
      <c r="BI23" s="2814"/>
      <c r="BJ23" s="2815"/>
      <c r="BK23" s="2816"/>
      <c r="BL23" s="2817"/>
      <c r="BM23" s="2818"/>
      <c r="BN23" s="2819"/>
      <c r="BO23" s="2820"/>
      <c r="BP23" s="2821"/>
      <c r="BQ23" s="2822"/>
      <c r="BR23" s="2823"/>
      <c r="BS23" s="2824"/>
      <c r="BT23" s="2825"/>
      <c r="BU23" s="2826"/>
      <c r="BV23" s="2827"/>
      <c r="BW23" s="2828"/>
      <c r="BX23" s="2829"/>
      <c r="BY23" s="2830"/>
      <c r="BZ23" s="2831"/>
      <c r="CA23" s="2832"/>
      <c r="CB23" s="2833"/>
      <c r="CC23" s="2834"/>
      <c r="CD23" s="2835"/>
      <c r="CE23" s="2836"/>
      <c r="CF23" s="2837"/>
      <c r="CG23" s="2838"/>
      <c r="CH23" s="2839"/>
      <c r="CI23" s="2840"/>
      <c r="CJ23" s="2841"/>
      <c r="CK23" s="2842"/>
      <c r="CL23" s="2843"/>
      <c r="CM23" s="2844"/>
      <c r="CN23" s="2845"/>
      <c r="CO23" s="2846"/>
      <c r="CP23" s="2847"/>
      <c r="CQ23" s="2848"/>
      <c r="CR23" s="2849"/>
      <c r="CS23" s="2850"/>
      <c r="CT23" s="2851"/>
      <c r="CU23" s="2852"/>
      <c r="CV23" s="2853"/>
      <c r="CW23" s="2854"/>
      <c r="CX23" s="2855"/>
      <c r="CY23" s="2856"/>
      <c r="CZ23" s="2857"/>
      <c r="DA23" s="2858"/>
      <c r="DB23" s="2859"/>
      <c r="DC23" s="2860"/>
      <c r="DD23" s="2861"/>
      <c r="DE23" s="2862"/>
      <c r="DF23" s="2863"/>
      <c r="DG23" s="2864"/>
      <c r="DH23" s="2865"/>
      <c r="DI23" s="2866"/>
      <c r="DJ23" s="2867"/>
      <c r="DK23" s="2868"/>
      <c r="DL23" s="2869"/>
      <c r="DM23" s="2870"/>
      <c r="DN23" s="2871"/>
      <c r="DO23" s="2872"/>
      <c r="DP23" s="2873"/>
      <c r="DQ23" s="2874"/>
      <c r="DR23" s="2875"/>
      <c r="DS23" s="2876"/>
      <c r="DT23" s="2877"/>
      <c r="DU23" s="2878"/>
      <c r="DV23" s="2879"/>
      <c r="DW23" s="2880"/>
      <c r="DX23" s="2881"/>
      <c r="DY23" s="2882"/>
      <c r="DZ23" s="2883"/>
      <c r="EA23" s="2884"/>
      <c r="EB23" s="2885"/>
      <c r="EC23" s="2886"/>
      <c r="ED23" s="2887"/>
      <c r="EE23" s="2888"/>
      <c r="EF23" s="2889"/>
      <c r="EG23" s="2890"/>
      <c r="EH23" s="2891"/>
      <c r="EI23" s="2892"/>
      <c r="EJ23" s="2893"/>
      <c r="EK23" s="2894"/>
      <c r="EL23" s="2895"/>
      <c r="EM23" s="2896"/>
      <c r="EN23" s="2897"/>
      <c r="EO23" s="2898"/>
      <c r="EP23" s="2899"/>
      <c r="EQ23" s="2900"/>
      <c r="ER23" s="2901"/>
      <c r="ES23" s="2902"/>
      <c r="ET23" s="2903"/>
      <c r="EU23" s="2904"/>
      <c r="EV23" s="2905"/>
      <c r="EW23" s="2906"/>
      <c r="EX23" s="2907"/>
      <c r="EY23" s="2908"/>
      <c r="EZ23" s="2909"/>
      <c r="FA23" s="2910"/>
      <c r="FB23" s="2911"/>
      <c r="FC23" s="2912"/>
      <c r="FD23" s="2913"/>
      <c r="FE23" s="2914"/>
      <c r="FF23" s="2915"/>
      <c r="FG23" s="2916"/>
      <c r="FH23" s="2917"/>
      <c r="FI23" s="2918"/>
      <c r="FJ23" s="2919"/>
      <c r="FK23" s="2920"/>
      <c r="FL23" s="2921"/>
      <c r="FM23" s="2922"/>
      <c r="FN23" s="2923"/>
      <c r="FO23" s="2924"/>
      <c r="FP23" s="2925"/>
      <c r="FQ23" s="2926"/>
      <c r="FR23" s="2927"/>
      <c r="FS23" s="2928"/>
      <c r="FT23" s="2929"/>
      <c r="FU23" s="2930"/>
      <c r="FV23" s="2931"/>
      <c r="FW23" s="2932"/>
      <c r="FX23" s="1827"/>
      <c r="FY23" s="1066"/>
      <c r="FZ23" s="1066"/>
      <c r="GA23" s="1066"/>
      <c r="GB23" s="1066"/>
    </row>
    <row s="929" customFormat="1" customHeight="1" ht="21">
      <c r="A24" s="1328" t="s">
        <v>1270</v>
      </c>
      <c r="B24" s="944"/>
      <c r="C24" s="929"/>
      <c r="D24" s="929"/>
      <c r="E24" s="943" t="s">
        <v>22</v>
      </c>
      <c r="F24" s="1125" t="str">
        <f>INDEX(IP_MAIN_LIST_NAME_IP,MATCH(A24,IP_MAIN_LIST_IP_ID,0))&amp;" ("&amp;INDEX(IP_MAIN_START_DATE,MATCH(A24,IP_MAIN_LIST_IP_ID,0))&amp;"-"&amp;INDEX(IP_MAIN_END_DATE,MATCH(A24,IP_MAIN_LIST_IP_ID,0))&amp;")"</f>
        <v>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 (28.05.2021-31.12.2030)</v>
      </c>
      <c r="G24" s="1207"/>
      <c r="H24" s="1208"/>
      <c r="I24" s="1208"/>
      <c r="J24" s="1208"/>
      <c r="K24" s="1208"/>
      <c r="L24" s="1208"/>
      <c r="M24" s="1208"/>
      <c r="N24" s="1208"/>
      <c r="O24" s="1207"/>
      <c r="P24" s="1207"/>
      <c r="Q24" s="1207"/>
      <c r="R24" s="1207"/>
      <c r="S24" s="1207"/>
      <c r="T24" s="1207"/>
      <c r="U24" s="1209"/>
      <c r="V24" s="1209"/>
      <c r="W24" s="1209"/>
      <c r="X24" s="1209"/>
      <c r="Y24" s="1209"/>
      <c r="Z24" s="1209"/>
      <c r="AA24" s="1209"/>
      <c r="AB24" s="1207"/>
      <c r="AC24" s="1208"/>
      <c r="AD24" s="1208"/>
      <c r="AE24" s="1208"/>
      <c r="AF24" s="1208"/>
      <c r="AG24" s="1208"/>
      <c r="AH24" s="1208"/>
      <c r="AI24" s="1208"/>
      <c r="AJ24" s="1208"/>
      <c r="AK24" s="1208"/>
      <c r="AL24" s="1208"/>
      <c r="AM24" s="1208"/>
      <c r="AN24" s="1208"/>
      <c r="AO24" s="1208"/>
      <c r="AP24" s="1208"/>
      <c r="AQ24" s="1208"/>
      <c r="AR24" s="1208"/>
      <c r="AS24" s="1208"/>
      <c r="AT24" s="1208"/>
      <c r="AU24" s="1208"/>
      <c r="AV24" s="1208"/>
      <c r="AW24" s="1208"/>
      <c r="AX24" s="1208"/>
      <c r="AY24" s="1208"/>
      <c r="AZ24" s="1208"/>
      <c r="BA24" s="1208"/>
      <c r="BB24" s="1208"/>
      <c r="BC24" s="1208"/>
      <c r="BD24" s="1208"/>
      <c r="BE24" s="1208"/>
      <c r="BF24" s="1208"/>
      <c r="BG24" s="1208"/>
      <c r="BH24" s="1208"/>
      <c r="BI24" s="1208"/>
      <c r="BJ24" s="1208"/>
      <c r="BK24" s="1208"/>
      <c r="BL24" s="1208"/>
      <c r="BM24" s="1208"/>
      <c r="BN24" s="1208"/>
      <c r="BO24" s="1208"/>
      <c r="BP24" s="1208"/>
      <c r="BQ24" s="1208"/>
      <c r="BR24" s="1208"/>
      <c r="BS24" s="1208"/>
      <c r="BT24" s="1208"/>
      <c r="BU24" s="1208"/>
      <c r="BV24" s="1208"/>
      <c r="BW24" s="1208"/>
      <c r="BX24" s="1208"/>
      <c r="BY24" s="1208"/>
      <c r="BZ24" s="1208"/>
      <c r="CA24" s="1208"/>
      <c r="CB24" s="1208"/>
      <c r="CC24" s="1208"/>
      <c r="CD24" s="1208"/>
      <c r="CE24" s="1208"/>
      <c r="CF24" s="1208"/>
      <c r="CG24" s="1208"/>
      <c r="CH24" s="1208"/>
      <c r="CI24" s="1208"/>
      <c r="CJ24" s="1208"/>
      <c r="CK24" s="1208"/>
      <c r="CL24" s="1210"/>
      <c r="CM24" s="1210"/>
      <c r="CN24" s="1210"/>
      <c r="CO24" s="1210"/>
      <c r="CP24" s="1210"/>
      <c r="CQ24" s="1210"/>
      <c r="CR24" s="1210"/>
      <c r="CS24" s="1210"/>
      <c r="CT24" s="1210"/>
      <c r="CU24" s="1210"/>
      <c r="CV24" s="1210"/>
      <c r="CW24" s="1210"/>
      <c r="CX24" s="1210"/>
      <c r="CY24" s="1210"/>
      <c r="CZ24" s="1210"/>
      <c r="DA24" s="1210"/>
      <c r="DB24" s="1210"/>
      <c r="DC24" s="1210"/>
      <c r="DD24" s="1210"/>
      <c r="DE24" s="1210"/>
      <c r="DF24" s="1210"/>
      <c r="DG24" s="1210"/>
      <c r="DH24" s="1210"/>
      <c r="DI24" s="1210"/>
      <c r="DJ24" s="1210"/>
      <c r="DK24" s="1210"/>
      <c r="DL24" s="1210"/>
      <c r="DM24" s="1210"/>
      <c r="DN24" s="1210"/>
      <c r="DO24" s="1210"/>
      <c r="DP24" s="1210"/>
      <c r="DQ24" s="1210"/>
      <c r="DR24" s="1210"/>
      <c r="DS24" s="1210"/>
      <c r="DT24" s="1210"/>
      <c r="DU24" s="1210"/>
      <c r="DV24" s="1210"/>
      <c r="DW24" s="1210"/>
      <c r="DX24" s="1210"/>
      <c r="DY24" s="1210"/>
      <c r="DZ24" s="1210"/>
      <c r="EA24" s="1210"/>
      <c r="EB24" s="1210"/>
      <c r="EC24" s="1210"/>
      <c r="ED24" s="1210"/>
      <c r="EE24" s="1210"/>
      <c r="EF24" s="1210"/>
      <c r="EG24" s="1210"/>
      <c r="EH24" s="1210"/>
      <c r="EI24" s="1210"/>
      <c r="EJ24" s="1210"/>
      <c r="EK24" s="1210"/>
      <c r="EL24" s="1210"/>
      <c r="EM24" s="1210"/>
      <c r="EN24" s="1210"/>
      <c r="EO24" s="1210"/>
      <c r="EP24" s="1210"/>
      <c r="EQ24" s="1210"/>
      <c r="ER24" s="1210"/>
      <c r="ES24" s="1210"/>
      <c r="ET24" s="1210"/>
      <c r="EU24" s="1210"/>
      <c r="EV24" s="1210"/>
      <c r="EW24" s="1210"/>
      <c r="EX24" s="1210"/>
      <c r="EY24" s="1210"/>
      <c r="EZ24" s="1210"/>
      <c r="FA24" s="1210"/>
      <c r="FB24" s="1210"/>
      <c r="FC24" s="1210"/>
      <c r="FD24" s="1210"/>
      <c r="FE24" s="1210"/>
      <c r="FF24" s="1210"/>
      <c r="FG24" s="1210"/>
      <c r="FH24" s="1210"/>
      <c r="FI24" s="1210"/>
      <c r="FJ24" s="1210"/>
      <c r="FK24" s="1210"/>
      <c r="FL24" s="1210"/>
      <c r="FM24" s="1210"/>
      <c r="FN24" s="1210"/>
      <c r="FO24" s="1210"/>
      <c r="FP24" s="1210"/>
      <c r="FQ24" s="1210"/>
      <c r="FR24" s="1210"/>
      <c r="FS24" s="1210"/>
      <c r="FT24" s="1210"/>
      <c r="FU24" s="1210"/>
      <c r="FV24" s="1211"/>
      <c r="FW24" s="1205"/>
      <c r="FX24" s="1206"/>
      <c r="FY24" s="929"/>
      <c r="FZ24" s="929"/>
      <c r="GA24" s="929"/>
      <c r="GB24" s="929"/>
    </row>
    <row s="929" customFormat="1" customHeight="1" ht="79.99999999999999">
      <c r="A25" s="929" t="s">
        <v>1270</v>
      </c>
      <c r="B25" s="944"/>
      <c r="C25" s="929"/>
      <c r="D25" s="929"/>
      <c r="E25" s="1854"/>
      <c r="F25" s="2393">
        <v>1</v>
      </c>
      <c r="G25" s="2566" t="s">
        <v>1431</v>
      </c>
      <c r="H25" s="1214" t="s">
        <v>1429</v>
      </c>
      <c r="I25" s="1986"/>
      <c r="J25" s="1215"/>
      <c r="K25" s="1215"/>
      <c r="L25" s="1215"/>
      <c r="M25" s="1215"/>
      <c r="N25" s="1215"/>
      <c r="O25" s="1216"/>
      <c r="P25" s="1216"/>
      <c r="Q25" s="1216"/>
      <c r="R25" s="1216"/>
      <c r="S25" s="1216">
        <v>156.03</v>
      </c>
      <c r="T25" s="1216">
        <v>156.03</v>
      </c>
      <c r="U25" s="1216">
        <v>2.24</v>
      </c>
      <c r="V25" s="1216">
        <v>4.31</v>
      </c>
      <c r="W25" s="1216">
        <v>0</v>
      </c>
      <c r="X25" s="1216">
        <v>0</v>
      </c>
      <c r="Y25" s="1216">
        <v>5542.82</v>
      </c>
      <c r="Z25" s="1216">
        <v>10407.53</v>
      </c>
      <c r="AA25" s="1216">
        <v>0</v>
      </c>
      <c r="AB25" s="1216">
        <v>0</v>
      </c>
      <c r="AC25" s="1215"/>
      <c r="AD25" s="1215"/>
      <c r="AE25" s="1215"/>
      <c r="AF25" s="1215"/>
      <c r="AG25" s="1215"/>
      <c r="AH25" s="1215"/>
      <c r="AI25" s="1215"/>
      <c r="AJ25" s="1215"/>
      <c r="AK25" s="1215"/>
      <c r="AL25" s="1215"/>
      <c r="AM25" s="1215"/>
      <c r="AN25" s="1215"/>
      <c r="AO25" s="1215"/>
      <c r="AP25" s="1215"/>
      <c r="AQ25" s="1215"/>
      <c r="AR25" s="1215"/>
      <c r="AS25" s="1215"/>
      <c r="AT25" s="1215"/>
      <c r="AU25" s="1215"/>
      <c r="AV25" s="1215"/>
      <c r="AW25" s="1215"/>
      <c r="AX25" s="1215"/>
      <c r="AY25" s="1215"/>
      <c r="AZ25" s="1215"/>
      <c r="BA25" s="1215"/>
      <c r="BB25" s="1215"/>
      <c r="BC25" s="1215"/>
      <c r="BD25" s="1215"/>
      <c r="BE25" s="1215"/>
      <c r="BF25" s="1215"/>
      <c r="BG25" s="1215"/>
      <c r="BH25" s="1215"/>
      <c r="BI25" s="1215"/>
      <c r="BJ25" s="1215"/>
      <c r="BK25" s="1215"/>
      <c r="BL25" s="1215"/>
      <c r="BM25" s="1215"/>
      <c r="BN25" s="1215"/>
      <c r="BO25" s="1215"/>
      <c r="BP25" s="1215"/>
      <c r="BQ25" s="1215"/>
      <c r="BR25" s="1215"/>
      <c r="BS25" s="1215"/>
      <c r="BT25" s="1216"/>
      <c r="BU25" s="1216"/>
      <c r="BV25" s="1216"/>
      <c r="BW25" s="1216"/>
      <c r="BX25" s="1216"/>
      <c r="BY25" s="1216"/>
      <c r="BZ25" s="1216"/>
      <c r="CA25" s="1216"/>
      <c r="CB25" s="1216"/>
      <c r="CC25" s="1216"/>
      <c r="CD25" s="1216"/>
      <c r="CE25" s="1216"/>
      <c r="CF25" s="1216"/>
      <c r="CG25" s="1216"/>
      <c r="CH25" s="1216"/>
      <c r="CI25" s="1216"/>
      <c r="CJ25" s="1216"/>
      <c r="CK25" s="1216"/>
      <c r="CL25" s="1215"/>
      <c r="CM25" s="1215"/>
      <c r="CN25" s="1215"/>
      <c r="CO25" s="1215"/>
      <c r="CP25" s="1215"/>
      <c r="CQ25" s="1215"/>
      <c r="CR25" s="1215"/>
      <c r="CS25" s="1215"/>
      <c r="CT25" s="1215"/>
      <c r="CU25" s="1215"/>
      <c r="CV25" s="1215"/>
      <c r="CW25" s="1215"/>
      <c r="CX25" s="1215"/>
      <c r="CY25" s="1216"/>
      <c r="CZ25" s="1216"/>
      <c r="DA25" s="1216"/>
      <c r="DB25" s="1216"/>
      <c r="DC25" s="1216"/>
      <c r="DD25" s="1216"/>
      <c r="DE25" s="1216"/>
      <c r="DF25" s="1216"/>
      <c r="DG25" s="1216"/>
      <c r="DH25" s="1216"/>
      <c r="DI25" s="1216"/>
      <c r="DJ25" s="1216"/>
      <c r="DK25" s="1215"/>
      <c r="DL25" s="1215"/>
      <c r="DM25" s="1215"/>
      <c r="DN25" s="1215"/>
      <c r="DO25" s="1215"/>
      <c r="DP25" s="1215"/>
      <c r="DQ25" s="1215"/>
      <c r="DR25" s="1215"/>
      <c r="DS25" s="1215"/>
      <c r="DT25" s="1215"/>
      <c r="DU25" s="1215"/>
      <c r="DV25" s="1215"/>
      <c r="DW25" s="1215"/>
      <c r="DX25" s="1215"/>
      <c r="DY25" s="1215"/>
      <c r="DZ25" s="1215"/>
      <c r="EA25" s="1215"/>
      <c r="EB25" s="1215"/>
      <c r="EC25" s="1215"/>
      <c r="ED25" s="1215"/>
      <c r="EE25" s="1215"/>
      <c r="EF25" s="1215"/>
      <c r="EG25" s="1215"/>
      <c r="EH25" s="1215"/>
      <c r="EI25" s="1215"/>
      <c r="EJ25" s="1215"/>
      <c r="EK25" s="1215"/>
      <c r="EL25" s="1215"/>
      <c r="EM25" s="1215"/>
      <c r="EN25" s="1215"/>
      <c r="EO25" s="1215"/>
      <c r="EP25" s="1215"/>
      <c r="EQ25" s="1215"/>
      <c r="ER25" s="1215"/>
      <c r="ES25" s="1215"/>
      <c r="ET25" s="1215"/>
      <c r="EU25" s="1215"/>
      <c r="EV25" s="1215"/>
      <c r="EW25" s="1215"/>
      <c r="EX25" s="1215"/>
      <c r="EY25" s="1215"/>
      <c r="EZ25" s="1215"/>
      <c r="FA25" s="1215"/>
      <c r="FB25" s="1215"/>
      <c r="FC25" s="1215"/>
      <c r="FD25" s="1215"/>
      <c r="FE25" s="1215"/>
      <c r="FF25" s="1215"/>
      <c r="FG25" s="1215"/>
      <c r="FH25" s="1215"/>
      <c r="FI25" s="1215"/>
      <c r="FJ25" s="1215"/>
      <c r="FK25" s="1215"/>
      <c r="FL25" s="1215"/>
      <c r="FM25" s="1215"/>
      <c r="FN25" s="1215"/>
      <c r="FO25" s="1215"/>
      <c r="FP25" s="1215"/>
      <c r="FQ25" s="1215"/>
      <c r="FR25" s="1215"/>
      <c r="FS25" s="1215"/>
      <c r="FT25" s="1215"/>
      <c r="FU25" s="1215"/>
      <c r="FV25" s="1215"/>
      <c r="FW25" s="1215"/>
      <c r="FX25" s="1206"/>
      <c r="FY25" s="929"/>
      <c r="FZ25" s="929"/>
      <c r="GA25" s="929"/>
      <c r="GB25" s="929"/>
    </row>
    <row s="929" customFormat="1" customHeight="1" ht="12">
      <c r="A26" s="929" t="s">
        <v>1270</v>
      </c>
      <c r="B26" s="944"/>
      <c r="C26" s="929"/>
      <c r="D26" s="929"/>
      <c r="E26" s="929"/>
      <c r="F26" s="2939"/>
      <c r="G26" s="2940" t="s">
        <v>1430</v>
      </c>
      <c r="H26" s="2941"/>
      <c r="I26" s="2942"/>
      <c r="J26" s="2943"/>
      <c r="K26" s="2944"/>
      <c r="L26" s="2945"/>
      <c r="M26" s="2946"/>
      <c r="N26" s="2947"/>
      <c r="O26" s="2948"/>
      <c r="P26" s="2949"/>
      <c r="Q26" s="2950"/>
      <c r="R26" s="2951"/>
      <c r="S26" s="2952"/>
      <c r="T26" s="2953"/>
      <c r="U26" s="2954"/>
      <c r="V26" s="2955"/>
      <c r="W26" s="2956"/>
      <c r="X26" s="2957"/>
      <c r="Y26" s="2958"/>
      <c r="Z26" s="2959"/>
      <c r="AA26" s="2960"/>
      <c r="AB26" s="2961"/>
      <c r="AC26" s="2962"/>
      <c r="AD26" s="2963"/>
      <c r="AE26" s="2964"/>
      <c r="AF26" s="2965"/>
      <c r="AG26" s="2966"/>
      <c r="AH26" s="2967"/>
      <c r="AI26" s="2968"/>
      <c r="AJ26" s="2969"/>
      <c r="AK26" s="2970"/>
      <c r="AL26" s="2971"/>
      <c r="AM26" s="2972"/>
      <c r="AN26" s="2973"/>
      <c r="AO26" s="2974"/>
      <c r="AP26" s="2975"/>
      <c r="AQ26" s="2976"/>
      <c r="AR26" s="2977"/>
      <c r="AS26" s="2978"/>
      <c r="AT26" s="2979"/>
      <c r="AU26" s="2980"/>
      <c r="AV26" s="2981"/>
      <c r="AW26" s="2982"/>
      <c r="AX26" s="2983"/>
      <c r="AY26" s="2984"/>
      <c r="AZ26" s="2985"/>
      <c r="BA26" s="2986"/>
      <c r="BB26" s="2987"/>
      <c r="BC26" s="2988"/>
      <c r="BD26" s="2989"/>
      <c r="BE26" s="2990"/>
      <c r="BF26" s="2991"/>
      <c r="BG26" s="2992"/>
      <c r="BH26" s="2993"/>
      <c r="BI26" s="2994"/>
      <c r="BJ26" s="2995"/>
      <c r="BK26" s="2996"/>
      <c r="BL26" s="2997"/>
      <c r="BM26" s="2998"/>
      <c r="BN26" s="2999"/>
      <c r="BO26" s="3000"/>
      <c r="BP26" s="3001"/>
      <c r="BQ26" s="3002"/>
      <c r="BR26" s="3003"/>
      <c r="BS26" s="3004"/>
      <c r="BT26" s="3005"/>
      <c r="BU26" s="3006"/>
      <c r="BV26" s="3007"/>
      <c r="BW26" s="3008"/>
      <c r="BX26" s="3009"/>
      <c r="BY26" s="3010"/>
      <c r="BZ26" s="3011"/>
      <c r="CA26" s="3012"/>
      <c r="CB26" s="3013"/>
      <c r="CC26" s="3014"/>
      <c r="CD26" s="3015"/>
      <c r="CE26" s="3016"/>
      <c r="CF26" s="3017"/>
      <c r="CG26" s="3018"/>
      <c r="CH26" s="3019"/>
      <c r="CI26" s="3020"/>
      <c r="CJ26" s="3021"/>
      <c r="CK26" s="3022"/>
      <c r="CL26" s="3023"/>
      <c r="CM26" s="3024"/>
      <c r="CN26" s="3025"/>
      <c r="CO26" s="3026"/>
      <c r="CP26" s="3027"/>
      <c r="CQ26" s="3028"/>
      <c r="CR26" s="3029"/>
      <c r="CS26" s="3030"/>
      <c r="CT26" s="3031"/>
      <c r="CU26" s="3032"/>
      <c r="CV26" s="3033"/>
      <c r="CW26" s="3034"/>
      <c r="CX26" s="3035"/>
      <c r="CY26" s="3036"/>
      <c r="CZ26" s="3037"/>
      <c r="DA26" s="3038"/>
      <c r="DB26" s="3039"/>
      <c r="DC26" s="3040"/>
      <c r="DD26" s="3041"/>
      <c r="DE26" s="3042"/>
      <c r="DF26" s="3043"/>
      <c r="DG26" s="3044"/>
      <c r="DH26" s="3045"/>
      <c r="DI26" s="3046"/>
      <c r="DJ26" s="3047"/>
      <c r="DK26" s="3048"/>
      <c r="DL26" s="3049"/>
      <c r="DM26" s="3050"/>
      <c r="DN26" s="3051"/>
      <c r="DO26" s="3052"/>
      <c r="DP26" s="3053"/>
      <c r="DQ26" s="3054"/>
      <c r="DR26" s="3055"/>
      <c r="DS26" s="3056"/>
      <c r="DT26" s="3057"/>
      <c r="DU26" s="3058"/>
      <c r="DV26" s="3059"/>
      <c r="DW26" s="3060"/>
      <c r="DX26" s="3061"/>
      <c r="DY26" s="3062"/>
      <c r="DZ26" s="3063"/>
      <c r="EA26" s="3064"/>
      <c r="EB26" s="3065"/>
      <c r="EC26" s="3066"/>
      <c r="ED26" s="3067"/>
      <c r="EE26" s="3068"/>
      <c r="EF26" s="3069"/>
      <c r="EG26" s="3070"/>
      <c r="EH26" s="3071"/>
      <c r="EI26" s="3072"/>
      <c r="EJ26" s="3073"/>
      <c r="EK26" s="3074"/>
      <c r="EL26" s="3075"/>
      <c r="EM26" s="3076"/>
      <c r="EN26" s="3077"/>
      <c r="EO26" s="3078"/>
      <c r="EP26" s="3079"/>
      <c r="EQ26" s="3080"/>
      <c r="ER26" s="3081"/>
      <c r="ES26" s="3082"/>
      <c r="ET26" s="3083"/>
      <c r="EU26" s="3084"/>
      <c r="EV26" s="3085"/>
      <c r="EW26" s="3086"/>
      <c r="EX26" s="3087"/>
      <c r="EY26" s="3088"/>
      <c r="EZ26" s="3089"/>
      <c r="FA26" s="3090"/>
      <c r="FB26" s="3091"/>
      <c r="FC26" s="3092"/>
      <c r="FD26" s="3093"/>
      <c r="FE26" s="3094"/>
      <c r="FF26" s="3095"/>
      <c r="FG26" s="3096"/>
      <c r="FH26" s="3097"/>
      <c r="FI26" s="3098"/>
      <c r="FJ26" s="3099"/>
      <c r="FK26" s="3100"/>
      <c r="FL26" s="3101"/>
      <c r="FM26" s="3102"/>
      <c r="FN26" s="3103"/>
      <c r="FO26" s="3104"/>
      <c r="FP26" s="3105"/>
      <c r="FQ26" s="3106"/>
      <c r="FR26" s="3107"/>
      <c r="FS26" s="3108"/>
      <c r="FT26" s="3109"/>
      <c r="FU26" s="3110"/>
      <c r="FV26" s="3111"/>
      <c r="FW26" s="3112"/>
      <c r="FX26" s="1827"/>
      <c r="FY26" s="1066"/>
      <c r="FZ26" s="1066"/>
      <c r="GA26" s="1066"/>
      <c r="GB26" s="1066"/>
    </row>
    <row s="929" customFormat="1" customHeight="1" ht="12.75">
      <c r="A27" s="945"/>
      <c r="B27" s="945"/>
      <c r="C27" s="945"/>
      <c r="D27" s="945"/>
      <c r="E27" s="945"/>
      <c r="F27" s="943"/>
      <c r="G27" s="943"/>
      <c r="H27" s="943"/>
      <c r="I27" s="943"/>
      <c r="J27" s="943"/>
      <c r="K27" s="943"/>
      <c r="L27" s="943"/>
      <c r="M27" s="943"/>
      <c r="N27" s="943"/>
      <c r="O27" s="943"/>
      <c r="P27" s="943"/>
      <c r="Q27" s="943"/>
      <c r="R27" s="943"/>
      <c r="S27" s="946"/>
      <c r="T27" s="946"/>
      <c r="U27" s="943"/>
      <c r="V27" s="943"/>
      <c r="W27" s="943"/>
      <c r="X27" s="943"/>
      <c r="Y27" s="943"/>
      <c r="Z27" s="943"/>
      <c r="AA27" s="943"/>
      <c r="AB27" s="943"/>
      <c r="AC27" s="943"/>
      <c r="AD27" s="943"/>
      <c r="AE27" s="943"/>
      <c r="AF27" s="943"/>
      <c r="AG27" s="943"/>
      <c r="AH27" s="943"/>
      <c r="AI27" s="943"/>
      <c r="AJ27" s="943"/>
      <c r="AK27" s="943"/>
      <c r="AL27" s="943"/>
      <c r="AM27" s="943"/>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c r="BP27" s="943"/>
      <c r="BQ27" s="943"/>
      <c r="BR27" s="943"/>
      <c r="BS27" s="943"/>
      <c r="BT27" s="943"/>
      <c r="BU27" s="943"/>
      <c r="BV27" s="943"/>
      <c r="BW27" s="943"/>
      <c r="BX27" s="943"/>
      <c r="BY27" s="943"/>
      <c r="BZ27" s="943"/>
      <c r="CA27" s="943"/>
      <c r="CB27" s="943"/>
      <c r="CC27" s="943"/>
      <c r="CD27" s="943"/>
      <c r="CE27" s="943"/>
      <c r="CF27" s="943"/>
      <c r="CG27" s="943"/>
      <c r="CH27" s="943"/>
      <c r="CI27" s="943"/>
      <c r="CJ27" s="943"/>
      <c r="CK27" s="943"/>
      <c r="CL27" s="943"/>
      <c r="CM27" s="943"/>
      <c r="CN27" s="943"/>
      <c r="CO27" s="943"/>
      <c r="CP27" s="943"/>
      <c r="CQ27" s="943"/>
      <c r="CR27" s="943"/>
      <c r="CS27" s="943"/>
      <c r="CT27" s="943"/>
      <c r="CU27" s="943"/>
      <c r="CV27" s="943"/>
      <c r="CW27" s="943"/>
      <c r="CX27" s="943"/>
      <c r="CY27" s="943"/>
      <c r="CZ27" s="943"/>
      <c r="DA27" s="943"/>
      <c r="DB27" s="943"/>
      <c r="DC27" s="943"/>
      <c r="DD27" s="943"/>
      <c r="DE27" s="943"/>
      <c r="DF27" s="943"/>
      <c r="DG27" s="943"/>
      <c r="DH27" s="943"/>
      <c r="DI27" s="943"/>
      <c r="DJ27" s="943"/>
      <c r="DK27" s="943"/>
      <c r="DL27" s="943"/>
      <c r="DM27" s="943"/>
      <c r="DN27" s="943"/>
      <c r="DO27" s="943"/>
      <c r="DP27" s="943"/>
      <c r="DQ27" s="943"/>
      <c r="DR27" s="943"/>
      <c r="DS27" s="943"/>
      <c r="DT27" s="943"/>
      <c r="DU27" s="943"/>
      <c r="DV27" s="943"/>
      <c r="DW27" s="943"/>
      <c r="DX27" s="943"/>
      <c r="DY27" s="943"/>
      <c r="DZ27" s="943"/>
      <c r="EA27" s="943"/>
      <c r="EB27" s="943"/>
      <c r="EC27" s="943"/>
      <c r="ED27" s="943"/>
      <c r="EE27" s="943"/>
      <c r="EF27" s="943"/>
      <c r="EG27" s="943"/>
      <c r="EH27" s="943"/>
      <c r="EI27" s="943"/>
      <c r="EJ27" s="943"/>
      <c r="EK27" s="943"/>
      <c r="EL27" s="943"/>
      <c r="EM27" s="943"/>
      <c r="EN27" s="943"/>
      <c r="EO27" s="943"/>
      <c r="EP27" s="943"/>
      <c r="EQ27" s="943"/>
      <c r="ER27" s="943"/>
      <c r="ES27" s="943"/>
      <c r="ET27" s="943"/>
      <c r="EU27" s="943"/>
      <c r="EV27" s="943"/>
      <c r="EW27" s="943"/>
      <c r="EX27" s="943"/>
      <c r="EY27" s="943"/>
      <c r="EZ27" s="943"/>
      <c r="FA27" s="943"/>
      <c r="FB27" s="943"/>
      <c r="FC27" s="943"/>
      <c r="FD27" s="943"/>
      <c r="FE27" s="943"/>
      <c r="FF27" s="943"/>
      <c r="FG27" s="943"/>
      <c r="FH27" s="943"/>
      <c r="FI27" s="943"/>
      <c r="FJ27" s="943"/>
      <c r="FK27" s="943"/>
      <c r="FL27" s="943"/>
      <c r="FM27" s="943"/>
      <c r="FN27" s="943"/>
      <c r="FO27" s="943"/>
      <c r="FP27" s="943"/>
      <c r="FQ27" s="943"/>
      <c r="FR27" s="943"/>
      <c r="FS27" s="943"/>
      <c r="FT27" s="943"/>
      <c r="FU27" s="943"/>
      <c r="FV27" s="943"/>
      <c r="FW27" s="943"/>
      <c r="FX27" s="945"/>
      <c r="FY27" s="945"/>
      <c r="FZ27" s="945"/>
      <c r="GA27" s="945"/>
      <c r="GB27" s="945"/>
      <c r="GC27" s="926">
        <v>12</v>
      </c>
    </row>
    <row s="929" customFormat="1" customHeight="1" ht="12.75">
      <c r="A28" s="945"/>
      <c r="B28" s="945"/>
      <c r="C28" s="945"/>
      <c r="D28" s="945"/>
      <c r="E28" s="945"/>
      <c r="FX28" s="945"/>
      <c r="FY28" s="945"/>
      <c r="FZ28" s="945"/>
      <c r="GA28" s="945"/>
      <c r="GB28" s="945"/>
      <c r="GC28" s="926">
        <v>12</v>
      </c>
    </row>
    <row s="1067" customFormat="1" customHeight="1" ht="12.75">
      <c r="A29" s="1066"/>
      <c r="B29" s="1066"/>
      <c r="C29" s="1066"/>
      <c r="D29" s="1066"/>
      <c r="E29" s="1066"/>
      <c r="O29" s="1068"/>
      <c r="P29" s="1068"/>
      <c r="Q29" s="1068"/>
      <c r="R29" s="1068"/>
      <c r="S29" s="1068"/>
      <c r="T29" s="1068"/>
      <c r="U29" s="1068"/>
      <c r="V29" s="1068"/>
      <c r="W29" s="1068"/>
      <c r="X29" s="1068"/>
      <c r="Y29" s="1068"/>
      <c r="Z29" s="1068"/>
      <c r="AA29" s="1068"/>
      <c r="AB29" s="1068"/>
      <c r="AC29" s="1068"/>
      <c r="AD29" s="1068"/>
      <c r="AE29" s="1068"/>
      <c r="AF29" s="1068"/>
      <c r="AG29" s="1068"/>
      <c r="AH29" s="1068"/>
      <c r="AI29" s="1068"/>
      <c r="AJ29" s="1068"/>
      <c r="AK29" s="1068"/>
      <c r="AL29" s="1068"/>
      <c r="AM29" s="1068"/>
      <c r="AN29" s="1068"/>
      <c r="AO29" s="1068"/>
      <c r="AP29" s="1068"/>
      <c r="AQ29" s="1068"/>
      <c r="AR29" s="1068"/>
      <c r="AS29" s="1068"/>
      <c r="AT29" s="1068"/>
      <c r="AU29" s="1068"/>
      <c r="AV29" s="1068"/>
      <c r="AW29" s="1068"/>
      <c r="AX29" s="1068"/>
      <c r="AY29" s="1068"/>
      <c r="AZ29" s="1068"/>
      <c r="BA29" s="1068"/>
      <c r="BB29" s="1068"/>
      <c r="BC29" s="1068"/>
      <c r="BD29" s="1068"/>
      <c r="BE29" s="1068"/>
      <c r="BF29" s="1068"/>
      <c r="BG29" s="1068"/>
      <c r="BH29" s="1068"/>
      <c r="BI29" s="1068"/>
      <c r="BJ29" s="1068"/>
      <c r="BK29" s="1068"/>
      <c r="BL29" s="1068"/>
      <c r="BM29" s="1068"/>
      <c r="BN29" s="1068"/>
      <c r="BO29" s="1068"/>
      <c r="BP29" s="1068"/>
      <c r="BQ29" s="1068"/>
      <c r="BR29" s="1068"/>
      <c r="BS29" s="1068"/>
      <c r="BT29" s="1069"/>
      <c r="BU29" s="1069"/>
      <c r="BV29" s="1069"/>
      <c r="BW29" s="1069"/>
      <c r="BX29" s="1069"/>
      <c r="BY29" s="1069"/>
      <c r="BZ29" s="1069"/>
      <c r="CA29" s="1069"/>
      <c r="CB29" s="1069"/>
      <c r="CC29" s="1069"/>
      <c r="CD29" s="1069"/>
      <c r="CE29" s="1069"/>
      <c r="CF29" s="1069"/>
      <c r="CG29" s="1069"/>
      <c r="CH29" s="1069"/>
      <c r="CI29" s="1069"/>
      <c r="CJ29" s="1069"/>
      <c r="CK29" s="1069"/>
      <c r="CL29" s="1069"/>
      <c r="CM29" s="1069"/>
      <c r="CN29" s="1069"/>
      <c r="CO29" s="1069"/>
      <c r="CP29" s="1069"/>
      <c r="CQ29" s="1069"/>
      <c r="CR29" s="1069"/>
      <c r="CS29" s="1069"/>
      <c r="CT29" s="1069"/>
      <c r="CU29" s="1069"/>
      <c r="CV29" s="1069"/>
      <c r="CW29" s="1069"/>
      <c r="CX29" s="1069"/>
      <c r="CY29" s="1069"/>
      <c r="CZ29" s="1069"/>
      <c r="DA29" s="1069"/>
      <c r="DB29" s="1069"/>
      <c r="DC29" s="1069"/>
      <c r="DD29" s="1069"/>
      <c r="DE29" s="1069"/>
      <c r="DF29" s="1069"/>
      <c r="DG29" s="1069"/>
      <c r="DH29" s="1069"/>
      <c r="DI29" s="1069"/>
      <c r="DJ29" s="1069"/>
      <c r="DK29" s="1069"/>
      <c r="DL29" s="1069"/>
      <c r="DM29" s="1069"/>
      <c r="DN29" s="1069"/>
      <c r="DO29" s="1069"/>
      <c r="DP29" s="1069"/>
      <c r="DQ29" s="1069"/>
      <c r="DR29" s="1069"/>
      <c r="DS29" s="1069"/>
      <c r="DT29" s="1069"/>
      <c r="DU29" s="1069"/>
      <c r="DV29" s="1069"/>
      <c r="DW29" s="1069"/>
      <c r="DX29" s="1069"/>
      <c r="FX29" s="1066"/>
      <c r="FY29" s="1066"/>
      <c r="FZ29" s="1066"/>
      <c r="GA29" s="1066"/>
      <c r="GB29" s="1066"/>
      <c r="GC29" s="1067">
        <v>12</v>
      </c>
    </row>
    <row customHeight="1" ht="12.75">
      <c r="S30" s="942"/>
      <c r="T30" s="942"/>
      <c r="U30" s="942"/>
      <c r="V30" s="942"/>
      <c r="W30" s="942"/>
      <c r="X30" s="942"/>
      <c r="Y30" s="942"/>
      <c r="Z30" s="942"/>
      <c r="AA30" s="942"/>
      <c r="AB30" s="942"/>
      <c r="FX30" s="942"/>
      <c r="FY30" s="942"/>
      <c r="FZ30" s="942"/>
      <c r="GA30" s="942"/>
      <c r="GB30" s="942"/>
      <c r="GC30" s="930">
        <v>12</v>
      </c>
    </row>
    <row customHeight="1" ht="12" hidden="1">
      <c r="A31" s="930" t="s">
        <v>82</v>
      </c>
      <c r="B31" s="940">
        <v>0</v>
      </c>
      <c r="C31" s="930">
        <v>0</v>
      </c>
      <c r="D31" s="930">
        <v>0</v>
      </c>
      <c r="E31" s="930">
        <v>3</v>
      </c>
      <c r="F31" s="930">
        <v>6</v>
      </c>
      <c r="G31" s="930">
        <v>18</v>
      </c>
      <c r="H31" s="930">
        <v>27</v>
      </c>
      <c r="I31" s="930">
        <v>18</v>
      </c>
      <c r="J31" s="930">
        <v>0</v>
      </c>
      <c r="K31" s="930">
        <v>0</v>
      </c>
      <c r="L31" s="930">
        <v>0</v>
      </c>
      <c r="M31" s="930">
        <v>0</v>
      </c>
      <c r="N31" s="930">
        <v>0</v>
      </c>
      <c r="O31" s="930">
        <v>0</v>
      </c>
      <c r="P31" s="930">
        <v>0</v>
      </c>
      <c r="Q31" s="930">
        <v>0</v>
      </c>
      <c r="R31" s="930">
        <v>0</v>
      </c>
      <c r="S31" s="930">
        <v>0</v>
      </c>
      <c r="T31" s="930">
        <v>0</v>
      </c>
      <c r="U31" s="930">
        <v>0</v>
      </c>
      <c r="V31" s="930">
        <v>0</v>
      </c>
      <c r="W31" s="930">
        <v>0</v>
      </c>
      <c r="X31" s="930">
        <v>0</v>
      </c>
      <c r="Y31" s="930">
        <v>0</v>
      </c>
      <c r="Z31" s="930">
        <v>0</v>
      </c>
      <c r="AA31" s="930">
        <v>0</v>
      </c>
      <c r="AB31" s="930">
        <v>0</v>
      </c>
      <c r="AC31" s="930">
        <v>0</v>
      </c>
      <c r="AD31" s="930">
        <v>0</v>
      </c>
      <c r="AE31" s="930">
        <v>0</v>
      </c>
      <c r="AF31" s="930">
        <v>0</v>
      </c>
      <c r="AG31" s="930">
        <v>0</v>
      </c>
      <c r="AH31" s="930">
        <v>0</v>
      </c>
      <c r="AI31" s="930">
        <v>0</v>
      </c>
      <c r="AJ31" s="930">
        <v>0</v>
      </c>
      <c r="AK31" s="930">
        <v>0</v>
      </c>
      <c r="AL31" s="930">
        <v>0</v>
      </c>
      <c r="AM31" s="930">
        <v>0</v>
      </c>
      <c r="AN31" s="930">
        <v>0</v>
      </c>
      <c r="AO31" s="930">
        <v>0</v>
      </c>
      <c r="AP31" s="930">
        <v>0</v>
      </c>
      <c r="AQ31" s="930">
        <v>0</v>
      </c>
      <c r="AR31" s="930">
        <v>0</v>
      </c>
      <c r="AS31" s="930">
        <v>0</v>
      </c>
      <c r="AT31" s="930">
        <v>0</v>
      </c>
      <c r="AU31" s="930">
        <v>0</v>
      </c>
      <c r="AV31" s="930">
        <v>0</v>
      </c>
      <c r="AW31" s="930">
        <v>0</v>
      </c>
      <c r="AX31" s="930">
        <v>0</v>
      </c>
      <c r="AY31" s="930">
        <v>0</v>
      </c>
      <c r="AZ31" s="930">
        <v>0</v>
      </c>
      <c r="BA31" s="930">
        <v>0</v>
      </c>
      <c r="BB31" s="930">
        <v>0</v>
      </c>
      <c r="BC31" s="930">
        <v>0</v>
      </c>
      <c r="BD31" s="930">
        <v>0</v>
      </c>
      <c r="BE31" s="930">
        <v>0</v>
      </c>
      <c r="BF31" s="930">
        <v>0</v>
      </c>
      <c r="BG31" s="930">
        <v>0</v>
      </c>
      <c r="BH31" s="930">
        <v>0</v>
      </c>
      <c r="BI31" s="930">
        <v>0</v>
      </c>
      <c r="BJ31" s="930">
        <v>0</v>
      </c>
      <c r="BK31" s="930">
        <v>0</v>
      </c>
      <c r="BL31" s="930">
        <v>0</v>
      </c>
      <c r="BM31" s="930">
        <v>0</v>
      </c>
      <c r="BN31" s="930">
        <v>0</v>
      </c>
      <c r="BO31" s="930">
        <v>0</v>
      </c>
      <c r="BP31" s="930">
        <v>0</v>
      </c>
      <c r="BQ31" s="930">
        <v>0</v>
      </c>
      <c r="BR31" s="930">
        <v>0</v>
      </c>
      <c r="BS31" s="930">
        <v>0</v>
      </c>
      <c r="BT31" s="930">
        <v>0</v>
      </c>
      <c r="BU31" s="930">
        <v>0</v>
      </c>
      <c r="BV31" s="930">
        <v>0</v>
      </c>
      <c r="BW31" s="930">
        <v>0</v>
      </c>
      <c r="BX31" s="930">
        <v>0</v>
      </c>
      <c r="BY31" s="930">
        <v>0</v>
      </c>
      <c r="BZ31" s="930">
        <v>0</v>
      </c>
      <c r="CA31" s="930">
        <v>0</v>
      </c>
      <c r="CB31" s="930">
        <v>0</v>
      </c>
      <c r="CC31" s="930">
        <v>0</v>
      </c>
      <c r="CD31" s="930">
        <v>0</v>
      </c>
      <c r="CE31" s="930">
        <v>0</v>
      </c>
      <c r="CF31" s="930">
        <v>0</v>
      </c>
      <c r="CG31" s="930">
        <v>0</v>
      </c>
      <c r="CH31" s="930">
        <v>0</v>
      </c>
      <c r="CI31" s="930">
        <v>0</v>
      </c>
      <c r="CJ31" s="930">
        <v>0</v>
      </c>
      <c r="CK31" s="930">
        <v>0</v>
      </c>
      <c r="CL31" s="930">
        <v>0</v>
      </c>
      <c r="CM31" s="930">
        <v>0</v>
      </c>
      <c r="CN31" s="930">
        <v>0</v>
      </c>
      <c r="CO31" s="930">
        <v>0</v>
      </c>
      <c r="CP31" s="930">
        <v>0</v>
      </c>
      <c r="CQ31" s="930">
        <v>0</v>
      </c>
      <c r="CR31" s="930">
        <v>0</v>
      </c>
      <c r="CS31" s="930">
        <v>0</v>
      </c>
      <c r="CT31" s="930">
        <v>0</v>
      </c>
      <c r="CU31" s="930">
        <v>0</v>
      </c>
      <c r="CV31" s="930">
        <v>0</v>
      </c>
      <c r="CW31" s="930">
        <v>0</v>
      </c>
      <c r="CX31" s="930">
        <v>0</v>
      </c>
      <c r="CY31" s="930">
        <v>0</v>
      </c>
      <c r="CZ31" s="930">
        <v>0</v>
      </c>
      <c r="DA31" s="930">
        <v>0</v>
      </c>
      <c r="DB31" s="930">
        <v>0</v>
      </c>
      <c r="DC31" s="930">
        <v>0</v>
      </c>
      <c r="DD31" s="930">
        <v>0</v>
      </c>
      <c r="DE31" s="930">
        <v>0</v>
      </c>
      <c r="DF31" s="930">
        <v>0</v>
      </c>
      <c r="DG31" s="930">
        <v>0</v>
      </c>
      <c r="DH31" s="930">
        <v>0</v>
      </c>
      <c r="DI31" s="930">
        <v>0</v>
      </c>
      <c r="DJ31" s="930">
        <v>0</v>
      </c>
      <c r="DK31" s="930">
        <v>0</v>
      </c>
      <c r="DL31" s="930">
        <v>0</v>
      </c>
      <c r="DM31" s="930">
        <v>0</v>
      </c>
      <c r="DN31" s="930">
        <v>0</v>
      </c>
      <c r="DO31" s="930">
        <v>0</v>
      </c>
      <c r="DP31" s="930">
        <v>0</v>
      </c>
      <c r="DQ31" s="930">
        <v>0</v>
      </c>
      <c r="DR31" s="930">
        <v>0</v>
      </c>
      <c r="DS31" s="930">
        <v>0</v>
      </c>
      <c r="DT31" s="930">
        <v>0</v>
      </c>
      <c r="DU31" s="930">
        <v>0</v>
      </c>
      <c r="DV31" s="930">
        <v>0</v>
      </c>
      <c r="DW31" s="930">
        <v>0</v>
      </c>
      <c r="DX31" s="930">
        <v>0</v>
      </c>
      <c r="DY31" s="930">
        <v>0</v>
      </c>
      <c r="DZ31" s="930">
        <v>0</v>
      </c>
      <c r="EA31" s="930">
        <v>0</v>
      </c>
      <c r="EB31" s="930">
        <v>0</v>
      </c>
      <c r="EC31" s="930">
        <v>0</v>
      </c>
      <c r="ED31" s="930">
        <v>0</v>
      </c>
      <c r="EE31" s="930">
        <v>0</v>
      </c>
      <c r="EF31" s="930">
        <v>0</v>
      </c>
      <c r="EG31" s="930">
        <v>0</v>
      </c>
      <c r="EH31" s="930">
        <v>0</v>
      </c>
      <c r="EI31" s="930">
        <v>0</v>
      </c>
      <c r="EJ31" s="930">
        <v>0</v>
      </c>
      <c r="EK31" s="930">
        <v>0</v>
      </c>
      <c r="EL31" s="930">
        <v>0</v>
      </c>
      <c r="EM31" s="930">
        <v>0</v>
      </c>
      <c r="EN31" s="930">
        <v>0</v>
      </c>
      <c r="EO31" s="930">
        <v>0</v>
      </c>
      <c r="EP31" s="930">
        <v>0</v>
      </c>
      <c r="EQ31" s="930">
        <v>0</v>
      </c>
      <c r="ER31" s="930">
        <v>0</v>
      </c>
      <c r="ES31" s="930">
        <v>0</v>
      </c>
      <c r="ET31" s="930">
        <v>0</v>
      </c>
      <c r="EU31" s="930">
        <v>0</v>
      </c>
      <c r="EV31" s="930">
        <v>0</v>
      </c>
      <c r="EW31" s="930">
        <v>0</v>
      </c>
      <c r="EX31" s="930">
        <v>0</v>
      </c>
      <c r="EY31" s="930">
        <v>0</v>
      </c>
      <c r="EZ31" s="930">
        <v>0</v>
      </c>
      <c r="FA31" s="930">
        <v>0</v>
      </c>
      <c r="FB31" s="930">
        <v>0</v>
      </c>
      <c r="FC31" s="930">
        <v>0</v>
      </c>
      <c r="FD31" s="930">
        <v>0</v>
      </c>
      <c r="FE31" s="930">
        <v>0</v>
      </c>
      <c r="FF31" s="930">
        <v>0</v>
      </c>
      <c r="FG31" s="930">
        <v>0</v>
      </c>
      <c r="FH31" s="930">
        <v>0</v>
      </c>
      <c r="FI31" s="930">
        <v>0</v>
      </c>
      <c r="FJ31" s="930">
        <v>0</v>
      </c>
      <c r="FK31" s="930">
        <v>0</v>
      </c>
      <c r="FL31" s="930">
        <v>0</v>
      </c>
      <c r="FM31" s="930">
        <v>0</v>
      </c>
      <c r="FN31" s="930">
        <v>0</v>
      </c>
      <c r="FO31" s="930">
        <v>0</v>
      </c>
      <c r="FP31" s="930">
        <v>0</v>
      </c>
      <c r="FQ31" s="930">
        <v>0</v>
      </c>
      <c r="FR31" s="930">
        <v>0</v>
      </c>
      <c r="FS31" s="930">
        <v>0</v>
      </c>
      <c r="FT31" s="930">
        <v>0</v>
      </c>
      <c r="FU31" s="930">
        <v>0</v>
      </c>
      <c r="FV31" s="930">
        <v>0</v>
      </c>
      <c r="FW31" s="930">
        <v>0</v>
      </c>
      <c r="FX31" s="930">
        <v>8</v>
      </c>
      <c r="FY31" s="930">
        <v>8</v>
      </c>
      <c r="FZ31" s="930">
        <v>8</v>
      </c>
      <c r="GA31" s="930">
        <v>8</v>
      </c>
      <c r="GB31" s="930">
        <v>8</v>
      </c>
      <c r="GC31" s="93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93">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textLength" operator="lessThanOrEqual" allowBlank="1" showInputMessage="1" showErrorMessage="1" errorTitle="Ошибка" error="Допускается ввод не более 900 символов!" sqref="I25">
      <formula1>900</formula1>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253F99-8006-7E2A-DCAC-9A52A18FC5CF}" mc:Ignorable="x14ac xr xr2 xr3">
  <sheetPr>
    <tabColor theme="2" tint="-0.1"/>
  </sheetPr>
  <dimension ref="A1:Y23"/>
  <sheetViews>
    <sheetView showGridLines="0" zoomScale="90" workbookViewId="0">
      <pane xSplit="7" ySplit="14" topLeftCell="Q15" activePane="bottomRight" state="frozen"/>
      <selection pane="bottomLeft" activeCell="A15" sqref="A15"/>
      <selection pane="topRight" activeCell="H1" sqref="H1"/>
      <selection pane="bottomRight" activeCell="Q8" sqref="Q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42.421875" hidden="1" customWidth="1"/>
    <col min="8" max="8" style="1639" width="40.7109375" customWidth="1"/>
    <col min="9" max="14" style="1639" width="42.421875" customWidth="1"/>
    <col min="15" max="15" style="1370" width="93.00390625" customWidth="1"/>
    <col min="16" max="23" style="1639" width="10.00390625" customWidth="1"/>
    <col min="24" max="24" style="679" width="10.00390625" customWidth="1"/>
    <col min="25" max="25" style="1639" width="10.57421875" hidden="1"/>
  </cols>
  <sheetData>
    <row s="1370" customFormat="1" customHeight="1" ht="15" hidden="1">
      <c r="C1" s="676"/>
      <c r="H1" s="421">
        <v>4</v>
      </c>
      <c r="I1" s="1370"/>
      <c r="J1" s="1370"/>
      <c r="K1" s="1370"/>
      <c r="L1" s="1370"/>
      <c r="M1" s="1370"/>
      <c r="N1" s="1370"/>
      <c r="X1" s="424"/>
      <c r="Y1" s="421" t="s">
        <v>14</v>
      </c>
    </row>
    <row customHeight="1" ht="22.5" hidden="1">
      <c r="C2" s="1932" t="s">
        <v>104</v>
      </c>
      <c r="D2" s="543"/>
      <c r="E2" s="667"/>
      <c r="F2" s="1765" t="str">
        <f>IF(TEMPLATE_SPHERE="HEAT","Гкал/час","тыс. куб. м/сутки")</f>
        <v>Гкал/час</v>
      </c>
      <c r="G2" s="684"/>
      <c r="H2" s="684"/>
      <c r="I2" s="2633"/>
      <c r="J2" s="2633"/>
      <c r="K2" s="2633"/>
      <c r="L2" s="2633"/>
      <c r="M2" s="2633"/>
      <c r="N2" s="2633"/>
      <c r="O2" s="293"/>
      <c r="Y2" s="509">
        <v>0</v>
      </c>
    </row>
    <row s="1370" customFormat="1" customHeight="1" ht="15" hidden="1">
      <c r="C3" s="676"/>
      <c r="I3" s="1370"/>
      <c r="J3" s="1370"/>
      <c r="K3" s="1370"/>
      <c r="L3" s="1370"/>
      <c r="M3" s="1370"/>
      <c r="N3" s="1370"/>
      <c r="X3" s="424"/>
      <c r="Y3" s="421">
        <v>0</v>
      </c>
    </row>
    <row customHeight="1" ht="15.75">
      <c r="C4" s="180"/>
      <c r="D4" s="513"/>
      <c r="E4" s="513"/>
      <c r="F4" s="513"/>
      <c r="G4" s="513"/>
      <c r="H4" s="513"/>
      <c r="I4" s="1639"/>
      <c r="J4" s="1639"/>
      <c r="K4" s="1639"/>
      <c r="L4" s="1639"/>
      <c r="M4" s="1639"/>
      <c r="N4" s="1639"/>
      <c r="Y4" s="509">
        <v>15</v>
      </c>
    </row>
    <row customHeight="1" ht="39.75">
      <c r="C5" s="180"/>
      <c r="D5" s="224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1"/>
      <c r="F5" s="2241"/>
      <c r="G5" s="2241"/>
      <c r="H5" s="2241"/>
      <c r="I5" s="2252"/>
      <c r="J5" s="2252"/>
      <c r="K5" s="2252"/>
      <c r="L5" s="2252"/>
      <c r="M5" s="2252"/>
      <c r="N5" s="2252"/>
      <c r="O5" s="541"/>
      <c r="Y5" s="509">
        <v>38</v>
      </c>
    </row>
    <row customHeight="1" ht="15.75">
      <c r="C6" s="180"/>
      <c r="D6" s="2180" t="str">
        <f>IF(org=0,"Не определено",org)</f>
        <v>АО "Теплоэнерго"</v>
      </c>
      <c r="E6" s="2180"/>
      <c r="F6" s="2180"/>
      <c r="G6" s="2180"/>
      <c r="H6" s="2180"/>
      <c r="I6" s="2253"/>
      <c r="J6" s="2253"/>
      <c r="K6" s="2253"/>
      <c r="L6" s="2253"/>
      <c r="M6" s="2253"/>
      <c r="N6" s="2253"/>
      <c r="O6" s="541"/>
      <c r="Y6" s="509">
        <v>15</v>
      </c>
    </row>
    <row s="1639" customFormat="1" customHeight="1" ht="15.75">
      <c r="A7" s="763"/>
      <c r="C7" s="180"/>
      <c r="D7" s="680"/>
      <c r="E7" s="680"/>
      <c r="F7" s="680"/>
      <c r="G7" s="680"/>
      <c r="H7" s="756"/>
      <c r="I7" s="2411" t="s">
        <v>22</v>
      </c>
      <c r="J7" s="2411" t="s">
        <v>22</v>
      </c>
      <c r="K7" s="2411" t="s">
        <v>22</v>
      </c>
      <c r="L7" s="2411" t="s">
        <v>22</v>
      </c>
      <c r="M7" s="2411" t="s">
        <v>22</v>
      </c>
      <c r="N7" s="2411" t="s">
        <v>22</v>
      </c>
      <c r="O7" s="541"/>
      <c r="X7" s="679"/>
      <c r="Y7" s="762">
        <v>15</v>
      </c>
    </row>
    <row customHeight="1" ht="1.05">
      <c r="C8" s="180"/>
      <c r="D8" s="513"/>
      <c r="E8" s="513"/>
      <c r="F8" s="513"/>
      <c r="G8" s="513"/>
      <c r="H8" s="541" t="s">
        <v>126</v>
      </c>
      <c r="I8" s="1639" t="s">
        <v>130</v>
      </c>
      <c r="J8" s="1639" t="s">
        <v>132</v>
      </c>
      <c r="K8" s="1639" t="s">
        <v>134</v>
      </c>
      <c r="L8" s="1639" t="s">
        <v>137</v>
      </c>
      <c r="M8" s="1639" t="s">
        <v>136</v>
      </c>
      <c r="N8" s="1639" t="s">
        <v>139</v>
      </c>
      <c r="Y8" s="509">
        <v>1</v>
      </c>
    </row>
    <row customHeight="1" ht="15.75">
      <c r="C9" s="180"/>
      <c r="D9" s="715"/>
      <c r="E9" s="2371" t="s">
        <v>115</v>
      </c>
      <c r="F9" s="2372"/>
      <c r="G9" s="820" t="str">
        <f>IF(G8="","",INDEX(DIFFERENTIATION_UNMERGE_VD,MATCH(G8,DIFFERENTIATION_ID_DIFF,0)))</f>
        <v/>
      </c>
      <c r="H9" s="820"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399"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399" t="str">
        <f>IF(J8="","",INDEX(DIFFERENTIATION_UNMERGE_VD,MATCH(J8,DIFFERENTIATION_ID_DIFF,0)))</f>
        <v>Производство тепловой энергии. Некомбинированная выработка; Передача. Тепловая энергия</v>
      </c>
      <c r="K9" s="2399" t="str">
        <f>IF(K8="","",INDEX(DIFFERENTIATION_UNMERGE_VD,MATCH(K8,DIFFERENTIATION_ID_DIFF,0)))</f>
        <v>Производство. Теплоноситель</v>
      </c>
      <c r="L9" s="2399" t="str">
        <f>IF(L8="","",INDEX(DIFFERENTIATION_UNMERGE_VD,MATCH(L8,DIFFERENTIATION_ID_DIFF,0)))</f>
        <v>Подключение (технологическое присоединение) к системе теплоснабжения</v>
      </c>
      <c r="M9" s="2399" t="str">
        <f>IF(M8="","",INDEX(DIFFERENTIATION_UNMERGE_VD,MATCH(M8,DIFFERENTIATION_ID_DIFF,0)))</f>
        <v>Производство. Теплоноситель</v>
      </c>
      <c r="N9" s="2399" t="str">
        <f>IF(N8="","",INDEX(DIFFERENTIATION_UNMERGE_VD,MATCH(N8,DIFFERENTIATION_ID_DIFF,0)))</f>
        <v>Поддержание резервной тепловой мощности при отсутствии потребления тепловой энергии</v>
      </c>
      <c r="O9" s="2131" t="s">
        <v>319</v>
      </c>
      <c r="Y9" s="509">
        <v>15</v>
      </c>
    </row>
    <row s="1639" customFormat="1" customHeight="1" ht="15.75">
      <c r="A10" s="763"/>
      <c r="C10" s="180"/>
      <c r="D10" s="715"/>
      <c r="E10" s="2371" t="s">
        <v>582</v>
      </c>
      <c r="F10" s="2372"/>
      <c r="G10" s="820" t="str">
        <f>IF(G8="","",INDEX(DIFFERENTIATION_UNMERGE_AREA,MATCH(G8,DIFFERENTIATION_ID_DIFF,0)))</f>
        <v/>
      </c>
      <c r="H10" s="820" t="str">
        <f>IF(H8="","",INDEX(DIFFERENTIATION_UNMERGE_AREA,MATCH(H8,DIFFERENTIATION_ID_DIFF,0)))</f>
        <v>Территория 1</v>
      </c>
      <c r="I10" s="2399" t="str">
        <f>IF(I8="","",INDEX(DIFFERENTIATION_UNMERGE_AREA,MATCH(I8,DIFFERENTIATION_ID_DIFF,0)))</f>
        <v>Территория 3</v>
      </c>
      <c r="J10" s="2399" t="str">
        <f>IF(J8="","",INDEX(DIFFERENTIATION_UNMERGE_AREA,MATCH(J8,DIFFERENTIATION_ID_DIFF,0)))</f>
        <v>Территория 2</v>
      </c>
      <c r="K10" s="2399" t="str">
        <f>IF(K8="","",INDEX(DIFFERENTIATION_UNMERGE_AREA,MATCH(K8,DIFFERENTIATION_ID_DIFF,0)))</f>
        <v>Территория 1</v>
      </c>
      <c r="L10" s="2399" t="str">
        <f>IF(L8="","",INDEX(DIFFERENTIATION_UNMERGE_AREA,MATCH(L8,DIFFERENTIATION_ID_DIFF,0)))</f>
        <v>Территория 1</v>
      </c>
      <c r="M10" s="2399" t="str">
        <f>IF(M8="","",INDEX(DIFFERENTIATION_UNMERGE_AREA,MATCH(M8,DIFFERENTIATION_ID_DIFF,0)))</f>
        <v>Территория 2</v>
      </c>
      <c r="N10" s="2399" t="str">
        <f>IF(N8="","",INDEX(DIFFERENTIATION_UNMERGE_AREA,MATCH(N8,DIFFERENTIATION_ID_DIFF,0)))</f>
        <v>Территория 1</v>
      </c>
      <c r="O10" s="2131"/>
      <c r="X10" s="679"/>
      <c r="Y10" s="762">
        <v>15</v>
      </c>
    </row>
    <row s="1639" customFormat="1" customHeight="1" ht="15.75">
      <c r="A11" s="763"/>
      <c r="C11" s="180"/>
      <c r="D11" s="715"/>
      <c r="E11" s="2371" t="s">
        <v>583</v>
      </c>
      <c r="F11" s="2372"/>
      <c r="G11" s="820" t="str">
        <f>IF(G8="","",INDEX(DIFFERENTIATION_UNMERGE_SYSTEM,MATCH(G8,DIFFERENTIATION_ID_DIFF,0)))</f>
        <v/>
      </c>
      <c r="H11" s="820" t="str">
        <f>IF(H8="","",INDEX(DIFFERENTIATION_UNMERGE_SYSTEM,MATCH(H8,DIFFERENTIATION_ID_DIFF,0)))</f>
        <v>без дифференциации</v>
      </c>
      <c r="I11" s="2399" t="str">
        <f>IF(I8="","",INDEX(DIFFERENTIATION_UNMERGE_SYSTEM,MATCH(I8,DIFFERENTIATION_ID_DIFF,0)))</f>
        <v>без дифференциации</v>
      </c>
      <c r="J11" s="2399" t="str">
        <f>IF(J8="","",INDEX(DIFFERENTIATION_UNMERGE_SYSTEM,MATCH(J8,DIFFERENTIATION_ID_DIFF,0)))</f>
        <v>без дифференциации</v>
      </c>
      <c r="K11" s="2399" t="str">
        <f>IF(K8="","",INDEX(DIFFERENTIATION_UNMERGE_SYSTEM,MATCH(K8,DIFFERENTIATION_ID_DIFF,0)))</f>
        <v>без дифференциации</v>
      </c>
      <c r="L11" s="2399" t="str">
        <f>IF(L8="","",INDEX(DIFFERENTIATION_UNMERGE_SYSTEM,MATCH(L8,DIFFERENTIATION_ID_DIFF,0)))</f>
        <v>без дифференциации</v>
      </c>
      <c r="M11" s="2399" t="str">
        <f>IF(M8="","",INDEX(DIFFERENTIATION_UNMERGE_SYSTEM,MATCH(M8,DIFFERENTIATION_ID_DIFF,0)))</f>
        <v>без дифференциации</v>
      </c>
      <c r="N11" s="2399" t="str">
        <f>IF(N8="","",INDEX(DIFFERENTIATION_UNMERGE_SYSTEM,MATCH(N8,DIFFERENTIATION_ID_DIFF,0)))</f>
        <v>без дифференциации</v>
      </c>
      <c r="O11" s="2131"/>
      <c r="X11" s="679"/>
      <c r="Y11" s="762">
        <v>15</v>
      </c>
    </row>
    <row s="1639" customFormat="1" customHeight="1" ht="15.75">
      <c r="A12" s="763"/>
      <c r="C12" s="180"/>
      <c r="D12" s="2373" t="s">
        <v>318</v>
      </c>
      <c r="E12" s="2374"/>
      <c r="F12" s="2374"/>
      <c r="G12" s="891"/>
      <c r="H12" s="891"/>
      <c r="I12" s="2371"/>
      <c r="J12" s="2371"/>
      <c r="K12" s="2371"/>
      <c r="L12" s="2371"/>
      <c r="M12" s="2371"/>
      <c r="N12" s="2371"/>
      <c r="O12" s="2131"/>
      <c r="X12" s="679"/>
      <c r="Y12" s="762">
        <v>15</v>
      </c>
    </row>
    <row customHeight="1" ht="35.699999999999996">
      <c r="C13" s="180"/>
      <c r="D13" s="765" t="s">
        <v>88</v>
      </c>
      <c r="E13" s="764" t="s">
        <v>320</v>
      </c>
      <c r="F13" s="764" t="s">
        <v>584</v>
      </c>
      <c r="G13" s="812" t="s">
        <v>321</v>
      </c>
      <c r="H13" s="758" t="s">
        <v>321</v>
      </c>
      <c r="I13" s="2266" t="s">
        <v>321</v>
      </c>
      <c r="J13" s="2266" t="s">
        <v>321</v>
      </c>
      <c r="K13" s="2266" t="s">
        <v>321</v>
      </c>
      <c r="L13" s="2266" t="s">
        <v>321</v>
      </c>
      <c r="M13" s="2266" t="s">
        <v>321</v>
      </c>
      <c r="N13" s="2266" t="s">
        <v>321</v>
      </c>
      <c r="O13" s="2131"/>
      <c r="Y13" s="509">
        <v>34</v>
      </c>
    </row>
    <row customHeight="1" ht="15" hidden="1">
      <c r="C14" s="180"/>
      <c r="D14" s="597" t="s">
        <v>119</v>
      </c>
      <c r="E14" s="597" t="s">
        <v>103</v>
      </c>
      <c r="F14" s="597" t="s">
        <v>90</v>
      </c>
      <c r="G14" s="663" t="str">
        <f>G1&amp;".1"</f>
        <v>.1</v>
      </c>
      <c r="H14" s="663" t="str">
        <f>H1&amp;".1"</f>
        <v>4.1</v>
      </c>
      <c r="I14" s="687" t="str">
        <f>I1&amp;".1"</f>
        <v>.1</v>
      </c>
      <c r="J14" s="687" t="str">
        <f>J1&amp;".1"</f>
        <v>.1</v>
      </c>
      <c r="K14" s="687" t="str">
        <f>K1&amp;".1"</f>
        <v>.1</v>
      </c>
      <c r="L14" s="687" t="str">
        <f>L1&amp;".1"</f>
        <v>.1</v>
      </c>
      <c r="M14" s="687" t="str">
        <f>M1&amp;".1"</f>
        <v>.1</v>
      </c>
      <c r="N14" s="687" t="str">
        <f>N1&amp;".1"</f>
        <v>.1</v>
      </c>
      <c r="O14" s="293"/>
      <c r="Y14" s="509">
        <v>0</v>
      </c>
    </row>
    <row customHeight="1" ht="15.75">
      <c r="A15" s="509"/>
      <c r="C15" s="530"/>
      <c r="D15" s="525">
        <v>1</v>
      </c>
      <c r="E15" s="1934" t="str">
        <f>TP_P_A</f>
        <v>Количество поданных заявок</v>
      </c>
      <c r="F15" s="525" t="s">
        <v>1432</v>
      </c>
      <c r="G15" s="689"/>
      <c r="H15" s="689"/>
      <c r="I15" s="689"/>
      <c r="J15" s="689"/>
      <c r="K15" s="689"/>
      <c r="L15" s="689"/>
      <c r="M15" s="689"/>
      <c r="N15" s="689"/>
      <c r="O15" s="21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Y15" s="509">
        <v>15</v>
      </c>
    </row>
    <row customHeight="1" ht="15.75">
      <c r="A16" s="509"/>
      <c r="C16" s="530"/>
      <c r="D16" s="525">
        <v>2</v>
      </c>
      <c r="E16" s="1934" t="str">
        <f>TP_P_B</f>
        <v>Количество рассмотренных заявок</v>
      </c>
      <c r="F16" s="525" t="s">
        <v>1432</v>
      </c>
      <c r="G16" s="689"/>
      <c r="H16" s="689"/>
      <c r="I16" s="689"/>
      <c r="J16" s="689"/>
      <c r="K16" s="689"/>
      <c r="L16" s="689"/>
      <c r="M16" s="689"/>
      <c r="N16" s="689"/>
      <c r="O16" s="21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Y16" s="509">
        <v>15</v>
      </c>
    </row>
    <row customHeight="1" ht="77.7">
      <c r="A17" s="509"/>
      <c r="C17" s="530"/>
      <c r="D17" s="525">
        <v>3</v>
      </c>
      <c r="E17" s="193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5" t="s">
        <v>1432</v>
      </c>
      <c r="G17" s="689"/>
      <c r="H17" s="689"/>
      <c r="I17" s="689"/>
      <c r="J17" s="689"/>
      <c r="K17" s="689"/>
      <c r="L17" s="689"/>
      <c r="M17" s="689"/>
      <c r="N17" s="689"/>
      <c r="O17" s="212" t="str">
        <f>TP_P_NOTE_V</f>
        <v>Указывается количество заявок с решением об отказе в течение отчетного квартала.</v>
      </c>
      <c r="Y17" s="509">
        <v>74</v>
      </c>
    </row>
    <row customHeight="1" ht="54.75">
      <c r="A18" s="509"/>
      <c r="C18" s="530"/>
      <c r="D18" s="525">
        <v>4</v>
      </c>
      <c r="E18" s="1934" t="str">
        <f>TP_P_V_1</f>
        <v>Причины отказа в заключении договора о подключении (технологическом присоединении) к системе теплоснабжения</v>
      </c>
      <c r="F18" s="525" t="s">
        <v>324</v>
      </c>
      <c r="G18" s="690"/>
      <c r="H18" s="690"/>
      <c r="I18" s="2357"/>
      <c r="J18" s="2357"/>
      <c r="K18" s="2357"/>
      <c r="L18" s="2357"/>
      <c r="M18" s="2357"/>
      <c r="N18" s="2357"/>
      <c r="O18" s="84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Y18" s="509">
        <v>52</v>
      </c>
    </row>
    <row customHeight="1" ht="60">
      <c r="A19" s="509"/>
      <c r="C19" s="530"/>
      <c r="D19" s="525">
        <v>5</v>
      </c>
      <c r="E19" s="1934" t="str">
        <f>TP_P_G</f>
        <v>Резерв мощности источников тепловой энергии, входящих в систему теплоснабжения, в течение одного квартала, в том числе:</v>
      </c>
      <c r="F19" s="525" t="str">
        <f>IF(TEMPLATE_SPHERE="HEAT","Гкал/час","тыс. куб. м/сутки")</f>
        <v>Гкал/час</v>
      </c>
      <c r="G19" s="691">
        <f>SUM(G20:G22)</f>
        <v>0</v>
      </c>
      <c r="H19" s="691">
        <f>SUM(H20:H22)</f>
        <v>0</v>
      </c>
      <c r="I19" s="691">
        <f>SUM(I20:I22)</f>
        <v>0</v>
      </c>
      <c r="J19" s="691">
        <f>SUM(J20:J22)</f>
        <v>0</v>
      </c>
      <c r="K19" s="691">
        <f>SUM(K20:K22)</f>
        <v>0</v>
      </c>
      <c r="L19" s="691">
        <f>SUM(L20:L22)</f>
        <v>0</v>
      </c>
      <c r="M19" s="691">
        <f>SUM(M20:M22)</f>
        <v>0</v>
      </c>
      <c r="N19" s="691">
        <f>SUM(N20:N22)</f>
        <v>0</v>
      </c>
      <c r="O19" s="212"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Y19" s="509">
        <v>57</v>
      </c>
    </row>
    <row customHeight="1" ht="15" hidden="1">
      <c r="D20" s="513" t="s">
        <v>1433</v>
      </c>
      <c r="E20" s="692"/>
      <c r="F20" s="513"/>
      <c r="G20" s="513"/>
      <c r="H20" s="513"/>
      <c r="I20" s="1639"/>
      <c r="J20" s="1639"/>
      <c r="K20" s="1639"/>
      <c r="L20" s="1639"/>
      <c r="M20" s="1639"/>
      <c r="N20" s="1639"/>
      <c r="O20" s="1767"/>
      <c r="Y20" s="509">
        <v>0</v>
      </c>
    </row>
    <row customHeight="1" ht="29.25">
      <c r="C21" s="455"/>
      <c r="D21" s="543" t="s">
        <v>331</v>
      </c>
      <c r="E21" s="674"/>
      <c r="F21" s="1765" t="str">
        <f>IF(TEMPLATE_SPHERE="HEAT","Гкал/час","тыс. куб. м/сутки")</f>
        <v>Гкал/час</v>
      </c>
      <c r="G21" s="684"/>
      <c r="H21" s="684"/>
      <c r="I21" s="2633"/>
      <c r="J21" s="2633"/>
      <c r="K21" s="2633"/>
      <c r="L21" s="2633"/>
      <c r="M21" s="2633"/>
      <c r="N21" s="2633"/>
      <c r="O21" s="217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Y21" s="509">
        <v>28</v>
      </c>
    </row>
    <row customHeight="1" ht="15.75">
      <c r="A22" s="509"/>
      <c r="C22" s="509"/>
      <c r="D22" s="351"/>
      <c r="E22" s="584" t="s">
        <v>1434</v>
      </c>
      <c r="F22" s="576"/>
      <c r="G22" s="576"/>
      <c r="H22" s="576"/>
      <c r="I22" s="2750"/>
      <c r="J22" s="2751"/>
      <c r="K22" s="2752"/>
      <c r="L22" s="2753"/>
      <c r="M22" s="2754"/>
      <c r="N22" s="2755"/>
      <c r="O22" s="2175"/>
      <c r="X22" s="509"/>
      <c r="Y22" s="509">
        <v>15</v>
      </c>
    </row>
    <row customHeight="1" ht="22.5" hidden="1">
      <c r="A23" s="453" t="s">
        <v>82</v>
      </c>
      <c r="B23" s="509">
        <v>0</v>
      </c>
      <c r="C23" s="687">
        <v>4</v>
      </c>
      <c r="D23" s="509">
        <v>6</v>
      </c>
      <c r="E23" s="509">
        <v>36</v>
      </c>
      <c r="F23" s="509">
        <v>9</v>
      </c>
      <c r="G23" s="762">
        <v>0</v>
      </c>
      <c r="H23" s="509">
        <v>40</v>
      </c>
      <c r="I23" s="1639">
        <v>0</v>
      </c>
      <c r="J23" s="1639">
        <v>0</v>
      </c>
      <c r="K23" s="1639">
        <v>0</v>
      </c>
      <c r="L23" s="1639">
        <v>0</v>
      </c>
      <c r="M23" s="1639">
        <v>0</v>
      </c>
      <c r="N23" s="1639">
        <v>0</v>
      </c>
      <c r="O23" s="421">
        <v>93</v>
      </c>
      <c r="P23" s="509">
        <v>10</v>
      </c>
      <c r="Q23" s="509">
        <v>10</v>
      </c>
      <c r="R23" s="509">
        <v>10</v>
      </c>
      <c r="S23" s="509">
        <v>10</v>
      </c>
      <c r="T23" s="509">
        <v>10</v>
      </c>
      <c r="U23" s="509">
        <v>10</v>
      </c>
      <c r="V23" s="509">
        <v>10</v>
      </c>
      <c r="W23" s="509">
        <v>10</v>
      </c>
      <c r="X23" s="679">
        <v>10</v>
      </c>
      <c r="Y23" s="509">
        <v>23</v>
      </c>
    </row>
  </sheetData>
  <sheetProtection formatColumns="0" formatRows="0" autoFilter="0" sort="0" insertRows="0" insertColumns="1" deleteRows="0" deleteColumns="0"/>
  <mergeCells count="8">
    <mergeCell ref="O21:O22"/>
    <mergeCell ref="O9:O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N18">
      <formula1>900</formula1>
    </dataValidation>
    <dataValidation type="whole" allowBlank="1" showErrorMessage="1" errorTitle="Ошибка" error="Допускается ввод только неотрицательных целых чисел!" sqref="G15:N17">
      <formula1>0</formula1>
      <formula2>9.99999999999999E+23</formula2>
    </dataValidation>
    <dataValidation type="decimal" allowBlank="1" showErrorMessage="1" errorTitle="Ошибка" error="Допускается ввод только действительных чисел!" sqref="G2:N2 G21:N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437AA1-CF47-AF43-6922-C916CC8012F4}"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6" style="1639" width="64.00390625" customWidth="1"/>
    <col min="7" max="7" style="1639" width="140.00390625" customWidth="1"/>
    <col min="8" max="8" style="1639" width="10.00390625" customWidth="1"/>
    <col min="9" max="10" style="1628" width="10.00390625" customWidth="1"/>
    <col min="11" max="16" style="1639" width="10.00390625" customWidth="1"/>
    <col min="17" max="17" style="1639" width="10.57421875" hidden="1"/>
  </cols>
  <sheetData>
    <row customHeight="1" ht="22.5" hidden="1">
      <c r="M1" s="259"/>
      <c r="N1" s="259"/>
      <c r="P1" s="259"/>
      <c r="Q1" s="87" t="s">
        <v>14</v>
      </c>
    </row>
    <row customHeight="1" ht="14.25" hidden="1">
      <c r="Q2" s="87">
        <v>0</v>
      </c>
    </row>
    <row customHeight="1" ht="14.25" hidden="1">
      <c r="Q3" s="87">
        <v>0</v>
      </c>
    </row>
    <row customHeight="1" ht="3">
      <c r="C4" s="100"/>
      <c r="D4" s="88"/>
      <c r="E4" s="88"/>
      <c r="F4" s="89"/>
      <c r="G4" s="89"/>
      <c r="Q4" s="87">
        <v>3</v>
      </c>
    </row>
    <row customHeight="1" ht="29.25">
      <c r="C5" s="100"/>
      <c r="D5" s="245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59"/>
      <c r="F5" s="2459"/>
      <c r="G5" s="2460"/>
      <c r="Q5" s="87">
        <v>28</v>
      </c>
    </row>
    <row s="1639" customFormat="1" customHeight="1" ht="18.75">
      <c r="A6" s="886"/>
      <c r="B6" s="421"/>
      <c r="C6" s="380"/>
      <c r="D6" s="2461" t="str">
        <f>IF(org=0,"Не определено",org)</f>
        <v>АО "Теплоэнерго"</v>
      </c>
      <c r="E6" s="2462"/>
      <c r="F6" s="2462"/>
      <c r="G6" s="2463"/>
      <c r="I6" s="504"/>
      <c r="J6" s="504"/>
      <c r="Q6" s="762">
        <v>18</v>
      </c>
    </row>
    <row customHeight="1" ht="14.699999999999998">
      <c r="C7" s="100"/>
      <c r="D7" s="88"/>
      <c r="E7" s="99"/>
      <c r="F7" s="756"/>
      <c r="G7" s="197"/>
      <c r="Q7" s="87">
        <v>14</v>
      </c>
    </row>
    <row s="1639" customFormat="1" customHeight="1" ht="1.05">
      <c r="A8" s="1673"/>
      <c r="B8" s="1164"/>
      <c r="C8" s="380"/>
      <c r="D8" s="367"/>
      <c r="E8" s="393"/>
      <c r="F8" s="756"/>
      <c r="G8" s="197"/>
      <c r="I8" s="1628"/>
      <c r="J8" s="1628"/>
      <c r="Q8" s="1635">
        <v>1</v>
      </c>
    </row>
    <row customHeight="1" ht="14.699999999999998">
      <c r="C9" s="100"/>
      <c r="D9" s="2213" t="s">
        <v>318</v>
      </c>
      <c r="E9" s="2213"/>
      <c r="F9" s="2213"/>
      <c r="G9" s="2393" t="s">
        <v>319</v>
      </c>
      <c r="Q9" s="87">
        <v>14</v>
      </c>
    </row>
    <row customHeight="1" ht="24">
      <c r="C10" s="100"/>
      <c r="D10" s="109" t="s">
        <v>88</v>
      </c>
      <c r="E10" s="112" t="s">
        <v>320</v>
      </c>
      <c r="F10" s="112" t="s">
        <v>408</v>
      </c>
      <c r="G10" s="2393"/>
      <c r="Q10" s="87">
        <v>23</v>
      </c>
    </row>
    <row customHeight="1" ht="12" hidden="1">
      <c r="C11" s="100"/>
      <c r="D11" s="91"/>
      <c r="E11" s="91"/>
      <c r="F11" s="91"/>
      <c r="G11" s="91"/>
      <c r="Q11" s="87">
        <v>0</v>
      </c>
    </row>
    <row customHeight="1" ht="65.25">
      <c r="A12" s="196"/>
      <c r="C12" s="100"/>
      <c r="D12" s="151">
        <v>1</v>
      </c>
      <c r="E12" s="20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2" t="s">
        <v>324</v>
      </c>
      <c r="G12" s="155"/>
      <c r="Q12" s="87">
        <v>62</v>
      </c>
    </row>
    <row customHeight="1" ht="24">
      <c r="A13" s="196"/>
      <c r="C13" s="100"/>
      <c r="D13" s="151" t="s">
        <v>1335</v>
      </c>
      <c r="E13" s="19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2" t="s">
        <v>324</v>
      </c>
      <c r="G13" s="155"/>
      <c r="Q13" s="87">
        <v>23</v>
      </c>
    </row>
    <row customHeight="1" ht="14.699999999999998">
      <c r="A14" s="196"/>
      <c r="C14" s="100"/>
      <c r="D14" s="151" t="s">
        <v>1371</v>
      </c>
      <c r="E14" s="199"/>
      <c r="F14" s="217"/>
      <c r="G14" s="21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7">
        <v>14</v>
      </c>
    </row>
    <row customHeight="1" ht="15.75">
      <c r="A15" s="196"/>
      <c r="C15" s="100"/>
      <c r="D15" s="113"/>
      <c r="E15" s="353" t="s">
        <v>1435</v>
      </c>
      <c r="F15" s="205"/>
      <c r="G15" s="2175"/>
      <c r="Q15" s="87">
        <v>15</v>
      </c>
    </row>
    <row customHeight="1" ht="14.699999999999998">
      <c r="A16" s="196"/>
      <c r="C16" s="100"/>
      <c r="D16" s="151" t="s">
        <v>1337</v>
      </c>
      <c r="E16" s="1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2" t="s">
        <v>324</v>
      </c>
      <c r="G16" s="341"/>
      <c r="Q16" s="87">
        <v>14</v>
      </c>
    </row>
    <row customHeight="1" ht="14.699999999999998">
      <c r="A17" s="196"/>
      <c r="C17" s="100"/>
      <c r="D17" s="151" t="s">
        <v>1379</v>
      </c>
      <c r="E17" s="199"/>
      <c r="F17" s="389"/>
      <c r="G17" s="21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7">
        <v>14</v>
      </c>
    </row>
    <row s="1639" customFormat="1" customHeight="1" ht="22.049999999999997">
      <c r="A18" s="347"/>
      <c r="B18" s="150"/>
      <c r="C18" s="311"/>
      <c r="D18" s="351"/>
      <c r="E18" s="353" t="s">
        <v>1436</v>
      </c>
      <c r="F18" s="342"/>
      <c r="G18" s="2175"/>
      <c r="I18" s="354"/>
      <c r="J18" s="354"/>
      <c r="Q18" s="346">
        <v>21</v>
      </c>
    </row>
    <row s="1639" customFormat="1" customHeight="1" ht="256.5" hidden="1">
      <c r="A19" s="347"/>
      <c r="B19" s="421"/>
      <c r="C19" s="380"/>
      <c r="D19" s="888" t="s">
        <v>1339</v>
      </c>
      <c r="E19" s="887" t="s">
        <v>1437</v>
      </c>
      <c r="F19" s="389"/>
      <c r="G19" s="341" t="s">
        <v>1438</v>
      </c>
      <c r="I19" s="504"/>
      <c r="J19" s="504"/>
      <c r="Q19" s="762">
        <v>0</v>
      </c>
    </row>
    <row s="1639" customFormat="1" customHeight="1" ht="14.699999999999998">
      <c r="A20" s="347"/>
      <c r="B20" s="150"/>
      <c r="C20" s="311"/>
      <c r="D20" s="889">
        <v>2</v>
      </c>
      <c r="E20" s="334" t="s">
        <v>1439</v>
      </c>
      <c r="F20" s="202" t="s">
        <v>324</v>
      </c>
      <c r="G20" s="341"/>
      <c r="I20" s="354"/>
      <c r="J20" s="354"/>
      <c r="Q20" s="346">
        <v>14</v>
      </c>
    </row>
    <row s="1639" customFormat="1" customHeight="1" ht="18.75" hidden="1">
      <c r="A21" s="347"/>
      <c r="B21" s="150"/>
      <c r="C21" s="311"/>
      <c r="D21" s="337" t="s">
        <v>897</v>
      </c>
      <c r="E21" s="336"/>
      <c r="F21" s="335"/>
      <c r="G21" s="345"/>
      <c r="H21" s="338"/>
      <c r="I21" s="354"/>
      <c r="J21" s="354"/>
      <c r="Q21" s="346">
        <v>0</v>
      </c>
    </row>
    <row customHeight="1" ht="15.75">
      <c r="A22" s="196"/>
      <c r="C22" s="100"/>
      <c r="D22" s="113"/>
      <c r="E22" s="207" t="s">
        <v>340</v>
      </c>
      <c r="F22" s="342"/>
      <c r="G22" s="343"/>
      <c r="Q22" s="87">
        <v>15</v>
      </c>
    </row>
    <row s="1639" customFormat="1" customHeight="1" ht="22.5" hidden="1">
      <c r="A23" s="347"/>
      <c r="B23" s="1164"/>
      <c r="C23" s="380"/>
      <c r="D23" s="1677" t="s">
        <v>103</v>
      </c>
      <c r="E23" s="201" t="s">
        <v>1440</v>
      </c>
      <c r="F23" s="1674" t="s">
        <v>324</v>
      </c>
      <c r="G23" s="349"/>
      <c r="I23" s="1628"/>
      <c r="J23" s="1628"/>
      <c r="Q23" s="1635">
        <v>0</v>
      </c>
    </row>
    <row s="1639" customFormat="1" customHeight="1" ht="14.25" hidden="1">
      <c r="A24" s="347"/>
      <c r="B24" s="1164"/>
      <c r="C24" s="380"/>
      <c r="D24" s="1677" t="s">
        <v>969</v>
      </c>
      <c r="E24" s="1676" t="s">
        <v>1441</v>
      </c>
      <c r="F24" s="1674" t="s">
        <v>324</v>
      </c>
      <c r="G24" s="341"/>
      <c r="I24" s="1628"/>
      <c r="J24" s="1628"/>
      <c r="Q24" s="1635">
        <v>0</v>
      </c>
    </row>
    <row s="1639" customFormat="1" customHeight="1" ht="14.25" hidden="1">
      <c r="A25" s="347"/>
      <c r="B25" s="1164"/>
      <c r="C25" s="380"/>
      <c r="D25" s="1677" t="s">
        <v>972</v>
      </c>
      <c r="E25" s="199"/>
      <c r="F25" s="389"/>
      <c r="G25" s="2173" t="s">
        <v>1442</v>
      </c>
      <c r="I25" s="1628"/>
      <c r="J25" s="1628"/>
      <c r="Q25" s="1635">
        <v>0</v>
      </c>
    </row>
    <row s="1639" customFormat="1" customHeight="1" ht="22.5" hidden="1">
      <c r="A26" s="347"/>
      <c r="B26" s="1164"/>
      <c r="C26" s="380"/>
      <c r="D26" s="351"/>
      <c r="E26" s="353" t="s">
        <v>1443</v>
      </c>
      <c r="F26" s="342"/>
      <c r="G26" s="2175"/>
      <c r="I26" s="1628"/>
      <c r="J26" s="1628"/>
      <c r="Q26" s="1635">
        <v>0</v>
      </c>
    </row>
    <row customHeight="1" ht="3">
      <c r="Q27" s="87">
        <v>3</v>
      </c>
    </row>
    <row customHeight="1" ht="14.699999999999998">
      <c r="D28" s="340"/>
      <c r="E28" s="339"/>
      <c r="F28" s="319"/>
      <c r="G28" s="319"/>
      <c r="H28" s="319"/>
      <c r="I28" s="319"/>
      <c r="J28" s="319"/>
      <c r="K28" s="319"/>
      <c r="L28" s="319"/>
      <c r="M28" s="319"/>
      <c r="N28" s="319"/>
      <c r="O28" s="319"/>
      <c r="P28" s="319"/>
      <c r="Q28" s="87">
        <v>14</v>
      </c>
    </row>
    <row customHeight="1" ht="14.699999999999998">
      <c r="D29" s="340"/>
      <c r="E29" s="586"/>
      <c r="Q29" s="87">
        <v>14</v>
      </c>
    </row>
    <row customHeight="1" ht="14.699999999999998">
      <c r="Q30" s="87">
        <v>14</v>
      </c>
    </row>
    <row customHeight="1" ht="14.699999999999998">
      <c r="E31" s="762"/>
      <c r="Q31" s="87">
        <v>14</v>
      </c>
    </row>
    <row customHeight="1" ht="22.5" hidden="1">
      <c r="A32" s="105" t="s">
        <v>82</v>
      </c>
      <c r="B32" s="150">
        <v>0</v>
      </c>
      <c r="C32" s="101">
        <v>3</v>
      </c>
      <c r="D32" s="87">
        <v>6</v>
      </c>
      <c r="E32" s="87">
        <v>64</v>
      </c>
      <c r="F32" s="87">
        <v>64</v>
      </c>
      <c r="G32" s="87">
        <v>140</v>
      </c>
      <c r="H32" s="87">
        <v>10</v>
      </c>
      <c r="I32" s="159">
        <v>10</v>
      </c>
      <c r="J32" s="159">
        <v>10</v>
      </c>
      <c r="K32" s="87">
        <v>10</v>
      </c>
      <c r="L32" s="87">
        <v>10</v>
      </c>
      <c r="M32" s="87">
        <v>10</v>
      </c>
      <c r="N32" s="87">
        <v>10</v>
      </c>
      <c r="O32" s="87">
        <v>10</v>
      </c>
      <c r="P32" s="87">
        <v>10</v>
      </c>
      <c r="Q32" s="87">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3329F4-F564-FF12-5014-E5A09CA3312F}"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80" width="9.140625" hidden="1" customWidth="1"/>
    <col min="2" max="2" style="1370" width="9.140625" hidden="1" customWidth="1"/>
    <col min="3" max="3" style="348" width="3.00390625" customWidth="1"/>
    <col min="4" max="4" style="1639" width="6.00390625" customWidth="1"/>
    <col min="5" max="5" style="1639" width="63.00390625" customWidth="1"/>
    <col min="6" max="6" style="1639" width="1.7109375" hidden="1" customWidth="1"/>
    <col min="7" max="8" style="1639" width="35.00390625" customWidth="1"/>
    <col min="9" max="9" style="1639" width="91.00390625" customWidth="1"/>
    <col min="10" max="10" style="1639" width="68.00390625" customWidth="1"/>
    <col min="11" max="12" style="1628" width="10.00390625" customWidth="1"/>
    <col min="13" max="13" style="1639" width="10.57421875" hidden="1"/>
  </cols>
  <sheetData>
    <row customHeight="1" ht="22.5" hidden="1">
      <c r="M1" s="87" t="s">
        <v>14</v>
      </c>
    </row>
    <row s="1639" customFormat="1" customHeight="1" ht="18.75" hidden="1">
      <c r="A2" s="1687"/>
      <c r="B2" s="1164"/>
      <c r="C2" s="1734" t="s">
        <v>104</v>
      </c>
      <c r="D2" s="1677"/>
      <c r="E2" s="203"/>
      <c r="F2" s="1674"/>
      <c r="G2" s="1674" t="s">
        <v>324</v>
      </c>
      <c r="H2" s="1165"/>
      <c r="K2" s="1628"/>
      <c r="L2" s="1628"/>
      <c r="M2" s="1635">
        <v>0</v>
      </c>
    </row>
    <row s="1639" customFormat="1" customHeight="1" ht="14.25" hidden="1">
      <c r="A3" s="1366"/>
      <c r="B3" s="1164"/>
      <c r="C3" s="348"/>
      <c r="K3" s="1628"/>
      <c r="L3" s="1628"/>
      <c r="M3" s="1635">
        <v>0</v>
      </c>
    </row>
    <row s="1639" customFormat="1" customHeight="1" ht="18.75" hidden="1">
      <c r="A4" s="1687"/>
      <c r="B4" s="1164"/>
      <c r="C4" s="1734" t="s">
        <v>104</v>
      </c>
      <c r="D4" s="1677"/>
      <c r="E4" s="209" t="s">
        <v>1444</v>
      </c>
      <c r="F4" s="1674"/>
      <c r="G4" s="261"/>
      <c r="H4" s="1674" t="s">
        <v>324</v>
      </c>
      <c r="K4" s="1628"/>
      <c r="L4" s="1628"/>
      <c r="M4" s="1635">
        <v>0</v>
      </c>
    </row>
    <row s="1639" customFormat="1" customHeight="1" ht="14.25" hidden="1">
      <c r="A5" s="1366"/>
      <c r="B5" s="1164"/>
      <c r="C5" s="348"/>
      <c r="K5" s="1628"/>
      <c r="L5" s="1628"/>
      <c r="M5" s="1635">
        <v>0</v>
      </c>
    </row>
    <row s="1639" customFormat="1" customHeight="1" ht="18.75" hidden="1">
      <c r="A6" s="1687"/>
      <c r="B6" s="1164"/>
      <c r="C6" s="1734" t="s">
        <v>104</v>
      </c>
      <c r="D6" s="1677"/>
      <c r="E6" s="210" t="s">
        <v>1445</v>
      </c>
      <c r="F6" s="1674"/>
      <c r="G6" s="261"/>
      <c r="H6" s="1674" t="s">
        <v>324</v>
      </c>
      <c r="K6" s="1628"/>
      <c r="L6" s="1628"/>
      <c r="M6" s="1635">
        <v>0</v>
      </c>
    </row>
    <row s="1639" customFormat="1" customHeight="1" ht="14.25" hidden="1">
      <c r="A7" s="1366"/>
      <c r="B7" s="1164"/>
      <c r="C7" s="348"/>
      <c r="K7" s="1628"/>
      <c r="L7" s="1628"/>
      <c r="M7" s="1635">
        <v>0</v>
      </c>
    </row>
    <row s="1639" customFormat="1" customHeight="1" ht="18.75" hidden="1">
      <c r="A8" s="1687"/>
      <c r="B8" s="1164"/>
      <c r="C8" s="1734" t="s">
        <v>104</v>
      </c>
      <c r="D8" s="1677"/>
      <c r="E8" s="210" t="s">
        <v>1446</v>
      </c>
      <c r="F8" s="1674"/>
      <c r="G8" s="261"/>
      <c r="H8" s="1674" t="s">
        <v>324</v>
      </c>
      <c r="K8" s="1628"/>
      <c r="L8" s="1628"/>
      <c r="M8" s="1635">
        <v>0</v>
      </c>
    </row>
    <row s="1639" customFormat="1" customHeight="1" ht="14.25" hidden="1">
      <c r="A9" s="1366"/>
      <c r="B9" s="1164"/>
      <c r="C9" s="348"/>
      <c r="K9" s="1628"/>
      <c r="L9" s="1628"/>
      <c r="M9" s="1635">
        <v>0</v>
      </c>
    </row>
    <row s="1639" customFormat="1" customHeight="1" ht="18.75" hidden="1">
      <c r="A10" s="1687"/>
      <c r="B10" s="1164"/>
      <c r="C10" s="1734" t="s">
        <v>104</v>
      </c>
      <c r="D10" s="1677"/>
      <c r="E10" s="210" t="s">
        <v>1447</v>
      </c>
      <c r="F10" s="1674"/>
      <c r="G10" s="1678"/>
      <c r="H10" s="1674" t="s">
        <v>324</v>
      </c>
      <c r="K10" s="1628"/>
      <c r="L10" s="1628" t="s">
        <v>1448</v>
      </c>
      <c r="M10" s="1635">
        <v>0</v>
      </c>
    </row>
    <row customHeight="1" ht="14.25" hidden="1">
      <c r="M11" s="87">
        <v>0</v>
      </c>
    </row>
    <row customHeight="1" ht="14.25" hidden="1">
      <c r="M12" s="87">
        <v>0</v>
      </c>
    </row>
    <row customHeight="1" ht="14.699999999999998">
      <c r="C13" s="100"/>
      <c r="D13" s="88"/>
      <c r="E13" s="88"/>
      <c r="F13" s="88"/>
      <c r="G13" s="88"/>
      <c r="H13" s="89"/>
      <c r="I13" s="89"/>
      <c r="M13" s="87">
        <v>14</v>
      </c>
    </row>
    <row customHeight="1" ht="29.25">
      <c r="C14" s="100"/>
      <c r="D14" s="245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59"/>
      <c r="F14" s="2459"/>
      <c r="G14" s="2459"/>
      <c r="H14" s="2460"/>
      <c r="J14" s="1635"/>
      <c r="M14" s="87">
        <v>28</v>
      </c>
    </row>
    <row s="1639" customFormat="1" customHeight="1" ht="14.699999999999998">
      <c r="A15" s="1366"/>
      <c r="B15" s="1164"/>
      <c r="C15" s="380"/>
      <c r="D15" s="2461" t="str">
        <f>IF(org=0,"Не определено",org)</f>
        <v>АО "Теплоэнерго"</v>
      </c>
      <c r="E15" s="2462"/>
      <c r="F15" s="2462"/>
      <c r="G15" s="2462"/>
      <c r="H15" s="2463"/>
      <c r="J15" s="856"/>
      <c r="K15" s="1628"/>
      <c r="L15" s="1628"/>
      <c r="M15" s="1635">
        <v>14</v>
      </c>
    </row>
    <row customHeight="1" ht="14.699999999999998">
      <c r="C16" s="100"/>
      <c r="D16" s="88"/>
      <c r="E16" s="99"/>
      <c r="F16" s="99"/>
      <c r="G16" s="99"/>
      <c r="H16" s="756"/>
      <c r="I16" s="197"/>
      <c r="M16" s="87">
        <v>14</v>
      </c>
    </row>
    <row s="1639" customFormat="1" customHeight="1" ht="14.25" hidden="1">
      <c r="A17" s="1366"/>
      <c r="B17" s="1164"/>
      <c r="C17" s="380"/>
      <c r="D17" s="367"/>
      <c r="E17" s="393"/>
      <c r="F17" s="393"/>
      <c r="G17" s="393"/>
      <c r="H17" s="756"/>
      <c r="I17" s="197"/>
      <c r="K17" s="1628"/>
      <c r="L17" s="1628"/>
      <c r="M17" s="1635">
        <v>0</v>
      </c>
    </row>
    <row customHeight="1" ht="22.049999999999997">
      <c r="C18" s="100"/>
      <c r="D18" s="2213" t="s">
        <v>318</v>
      </c>
      <c r="E18" s="2213"/>
      <c r="F18" s="2213"/>
      <c r="G18" s="2213"/>
      <c r="H18" s="2213"/>
      <c r="I18" s="2393" t="s">
        <v>319</v>
      </c>
      <c r="M18" s="87">
        <v>21</v>
      </c>
    </row>
    <row customHeight="1" ht="22.049999999999997">
      <c r="C19" s="100"/>
      <c r="D19" s="109" t="s">
        <v>88</v>
      </c>
      <c r="E19" s="112" t="s">
        <v>320</v>
      </c>
      <c r="F19" s="112"/>
      <c r="G19" s="112" t="s">
        <v>321</v>
      </c>
      <c r="H19" s="112" t="s">
        <v>408</v>
      </c>
      <c r="I19" s="2393"/>
      <c r="M19" s="87">
        <v>21</v>
      </c>
    </row>
    <row customHeight="1" ht="12" hidden="1">
      <c r="C20" s="100"/>
      <c r="D20" s="91"/>
      <c r="E20" s="91"/>
      <c r="F20" s="91"/>
      <c r="G20" s="91"/>
      <c r="H20" s="91"/>
      <c r="I20" s="91"/>
      <c r="M20" s="87">
        <v>0</v>
      </c>
    </row>
    <row customHeight="1" ht="14.699999999999998">
      <c r="A21" s="1687"/>
      <c r="C21" s="100"/>
      <c r="D21" s="151">
        <v>1</v>
      </c>
      <c r="E21" s="2465" t="s">
        <v>1449</v>
      </c>
      <c r="F21" s="2465"/>
      <c r="G21" s="2465"/>
      <c r="H21" s="2465"/>
      <c r="I21" s="212"/>
      <c r="M21" s="87">
        <v>14</v>
      </c>
    </row>
    <row customHeight="1" ht="21">
      <c r="A22" s="1687"/>
      <c r="C22" s="100"/>
      <c r="D22" s="151" t="s">
        <v>1335</v>
      </c>
      <c r="E22" s="198" t="s">
        <v>1450</v>
      </c>
      <c r="F22" s="202"/>
      <c r="G22" s="1741"/>
      <c r="H22" s="202" t="s">
        <v>324</v>
      </c>
      <c r="I22" s="155" t="s">
        <v>1451</v>
      </c>
      <c r="M22" s="87">
        <v>20</v>
      </c>
    </row>
    <row customHeight="1" ht="60">
      <c r="A23" s="1687"/>
      <c r="C23" s="100"/>
      <c r="D23" s="151" t="s">
        <v>1337</v>
      </c>
      <c r="E23" s="198" t="s">
        <v>1452</v>
      </c>
      <c r="F23" s="202"/>
      <c r="G23" s="261"/>
      <c r="H23" s="217"/>
      <c r="I23" s="262" t="s">
        <v>1453</v>
      </c>
      <c r="M23" s="87">
        <v>57</v>
      </c>
    </row>
    <row customHeight="1" ht="14.699999999999998">
      <c r="A24" s="1687"/>
      <c r="B24" s="150">
        <v>3</v>
      </c>
      <c r="C24" s="100"/>
      <c r="D24" s="151">
        <v>2</v>
      </c>
      <c r="E24" s="22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2"/>
      <c r="G24" s="202" t="s">
        <v>324</v>
      </c>
      <c r="H24" s="217"/>
      <c r="I24" s="263" t="s">
        <v>892</v>
      </c>
      <c r="M24" s="87">
        <v>14</v>
      </c>
    </row>
    <row customHeight="1" ht="48.29999999999999">
      <c r="A25" s="1687"/>
      <c r="C25" s="100"/>
      <c r="D25" s="151">
        <v>3</v>
      </c>
      <c r="E25" s="2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4"/>
      <c r="G25" s="2464"/>
      <c r="H25" s="2464"/>
      <c r="I25" s="260"/>
      <c r="M25" s="87">
        <v>46</v>
      </c>
    </row>
    <row customHeight="1" ht="14.699999999999998">
      <c r="A26" s="1687"/>
      <c r="C26" s="100"/>
      <c r="D26" s="151" t="s">
        <v>342</v>
      </c>
      <c r="E26" s="203"/>
      <c r="F26" s="202"/>
      <c r="G26" s="202" t="s">
        <v>324</v>
      </c>
      <c r="H26" s="217"/>
      <c r="I26" s="2173" t="s">
        <v>1454</v>
      </c>
      <c r="M26" s="87">
        <v>14</v>
      </c>
    </row>
    <row customHeight="1" ht="15.75">
      <c r="A27" s="1687" t="s">
        <v>119</v>
      </c>
      <c r="C27" s="100"/>
      <c r="D27" s="113"/>
      <c r="E27" s="207" t="s">
        <v>340</v>
      </c>
      <c r="F27" s="208"/>
      <c r="G27" s="208"/>
      <c r="H27" s="205"/>
      <c r="I27" s="2175"/>
      <c r="M27" s="87">
        <v>15</v>
      </c>
    </row>
    <row customHeight="1" ht="39.75">
      <c r="A28" s="1687"/>
      <c r="B28" s="150">
        <v>3</v>
      </c>
      <c r="C28" s="100"/>
      <c r="D28" s="151">
        <v>4</v>
      </c>
      <c r="E28" s="2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4"/>
      <c r="G28" s="2464"/>
      <c r="H28" s="2464"/>
      <c r="I28" s="260"/>
      <c r="M28" s="87">
        <v>38</v>
      </c>
    </row>
    <row customHeight="1" ht="21">
      <c r="A29" s="1687"/>
      <c r="C29" s="100"/>
      <c r="D29" s="151" t="s">
        <v>1014</v>
      </c>
      <c r="E29" s="209" t="s">
        <v>1444</v>
      </c>
      <c r="F29" s="202"/>
      <c r="G29" s="261"/>
      <c r="H29" s="202" t="s">
        <v>324</v>
      </c>
      <c r="I29" s="2173" t="s">
        <v>1455</v>
      </c>
      <c r="M29" s="87">
        <v>20</v>
      </c>
    </row>
    <row customHeight="1" ht="15.75">
      <c r="A30" s="1687" t="s">
        <v>103</v>
      </c>
      <c r="C30" s="100"/>
      <c r="D30" s="113"/>
      <c r="E30" s="207" t="s">
        <v>340</v>
      </c>
      <c r="F30" s="208"/>
      <c r="G30" s="208"/>
      <c r="H30" s="205"/>
      <c r="I30" s="2175"/>
      <c r="M30" s="87">
        <v>15</v>
      </c>
    </row>
    <row customHeight="1" ht="31.5">
      <c r="A31" s="1687"/>
      <c r="B31" s="150">
        <v>3</v>
      </c>
      <c r="C31" s="100"/>
      <c r="D31" s="151">
        <v>5</v>
      </c>
      <c r="E31" s="2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4"/>
      <c r="G31" s="2464"/>
      <c r="H31" s="2464"/>
      <c r="I31" s="260"/>
      <c r="M31" s="87">
        <v>30</v>
      </c>
    </row>
    <row customHeight="1" ht="27.299999999999997">
      <c r="A32" s="1687"/>
      <c r="C32" s="100"/>
      <c r="D32" s="151" t="s">
        <v>331</v>
      </c>
      <c r="E32" s="24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7"/>
      <c r="G32" s="2407"/>
      <c r="H32" s="2407"/>
      <c r="I32" s="260"/>
      <c r="M32" s="87">
        <v>26</v>
      </c>
    </row>
    <row customHeight="1" ht="14.699999999999998">
      <c r="A33" s="1687"/>
      <c r="C33" s="100"/>
      <c r="D33" s="151" t="s">
        <v>1456</v>
      </c>
      <c r="E33" s="210" t="s">
        <v>1445</v>
      </c>
      <c r="F33" s="202"/>
      <c r="G33" s="261"/>
      <c r="H33" s="202" t="s">
        <v>324</v>
      </c>
      <c r="I33" s="2173" t="s">
        <v>1457</v>
      </c>
      <c r="M33" s="87">
        <v>14</v>
      </c>
    </row>
    <row customHeight="1" ht="15.75">
      <c r="A34" s="1687" t="s">
        <v>90</v>
      </c>
      <c r="C34" s="100"/>
      <c r="D34" s="113"/>
      <c r="E34" s="208" t="s">
        <v>340</v>
      </c>
      <c r="F34" s="204"/>
      <c r="G34" s="204"/>
      <c r="H34" s="205"/>
      <c r="I34" s="2175"/>
      <c r="M34" s="87">
        <v>15</v>
      </c>
    </row>
    <row customHeight="1" ht="25.2">
      <c r="A35" s="1687"/>
      <c r="C35" s="100"/>
      <c r="D35" s="151" t="s">
        <v>1146</v>
      </c>
      <c r="E35" s="24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7"/>
      <c r="G35" s="2407"/>
      <c r="H35" s="2407"/>
      <c r="I35" s="260"/>
      <c r="M35" s="87">
        <v>24</v>
      </c>
    </row>
    <row customHeight="1" ht="14.699999999999998">
      <c r="A36" s="1687"/>
      <c r="C36" s="100"/>
      <c r="D36" s="151" t="s">
        <v>1458</v>
      </c>
      <c r="E36" s="210" t="s">
        <v>1446</v>
      </c>
      <c r="F36" s="202"/>
      <c r="G36" s="261"/>
      <c r="H36" s="202" t="s">
        <v>324</v>
      </c>
      <c r="I36" s="2147" t="s">
        <v>1459</v>
      </c>
      <c r="M36" s="87">
        <v>14</v>
      </c>
    </row>
    <row customHeight="1" ht="15.75">
      <c r="A37" s="1687" t="s">
        <v>91</v>
      </c>
      <c r="C37" s="100"/>
      <c r="D37" s="113"/>
      <c r="E37" s="208" t="s">
        <v>340</v>
      </c>
      <c r="F37" s="204"/>
      <c r="G37" s="204"/>
      <c r="H37" s="205"/>
      <c r="I37" s="2147"/>
      <c r="M37" s="87">
        <v>15</v>
      </c>
    </row>
    <row customHeight="1" ht="27.299999999999997">
      <c r="A38" s="1687"/>
      <c r="C38" s="100"/>
      <c r="D38" s="151" t="s">
        <v>1147</v>
      </c>
      <c r="E38" s="24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7"/>
      <c r="G38" s="2407"/>
      <c r="H38" s="2407"/>
      <c r="I38" s="260"/>
      <c r="M38" s="87">
        <v>26</v>
      </c>
    </row>
    <row customHeight="1" ht="14.699999999999998">
      <c r="A39" s="1687"/>
      <c r="C39" s="100"/>
      <c r="D39" s="151" t="s">
        <v>1148</v>
      </c>
      <c r="E39" s="210" t="s">
        <v>1447</v>
      </c>
      <c r="F39" s="202"/>
      <c r="G39" s="211"/>
      <c r="H39" s="202" t="s">
        <v>324</v>
      </c>
      <c r="I39" s="2173" t="s">
        <v>1460</v>
      </c>
      <c r="L39" s="159" t="s">
        <v>1448</v>
      </c>
      <c r="M39" s="87">
        <v>14</v>
      </c>
    </row>
    <row customHeight="1" ht="15.75">
      <c r="A40" s="1687" t="s">
        <v>120</v>
      </c>
      <c r="C40" s="100"/>
      <c r="D40" s="113"/>
      <c r="E40" s="208" t="s">
        <v>340</v>
      </c>
      <c r="F40" s="204"/>
      <c r="G40" s="204"/>
      <c r="H40" s="205"/>
      <c r="I40" s="2175"/>
      <c r="M40" s="87">
        <v>15</v>
      </c>
    </row>
    <row s="1827" customFormat="1" customHeight="1" ht="3">
      <c r="A41" s="1687"/>
      <c r="K41" s="200"/>
      <c r="L41" s="200"/>
      <c r="M41" s="144">
        <v>3</v>
      </c>
    </row>
    <row customHeight="1" ht="26.25">
      <c r="D42" s="1685" t="s">
        <v>1064</v>
      </c>
      <c r="E42" s="22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9"/>
      <c r="G42" s="2289"/>
      <c r="H42" s="2289"/>
      <c r="I42" s="2289"/>
      <c r="M42" s="87">
        <v>25</v>
      </c>
    </row>
    <row customHeight="1" ht="22.5" hidden="1">
      <c r="A43" s="1366" t="s">
        <v>82</v>
      </c>
      <c r="B43" s="150">
        <v>0</v>
      </c>
      <c r="C43" s="101">
        <v>3</v>
      </c>
      <c r="D43" s="87">
        <v>6</v>
      </c>
      <c r="E43" s="87">
        <v>63</v>
      </c>
      <c r="F43" s="87">
        <v>0</v>
      </c>
      <c r="G43" s="87">
        <v>35</v>
      </c>
      <c r="H43" s="87">
        <v>35</v>
      </c>
      <c r="I43" s="87">
        <v>91</v>
      </c>
      <c r="J43" s="87">
        <v>68</v>
      </c>
      <c r="K43" s="159">
        <v>10</v>
      </c>
      <c r="L43" s="159">
        <v>10</v>
      </c>
      <c r="M43" s="8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912629-13D6-BEAB-7001-944AFDD58B93}"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3" width="25.140625" hidden="1" customWidth="1"/>
    <col min="3" max="3" style="1691" width="9.140625" hidden="1" customWidth="1"/>
    <col min="4" max="4" style="348" width="3.00390625" customWidth="1"/>
    <col min="5" max="5" style="1639" width="6.00390625" customWidth="1"/>
    <col min="6" max="6" style="1639" width="46.7109375" customWidth="1"/>
    <col min="7" max="7" style="1639" width="35.00390625" customWidth="1"/>
    <col min="8" max="8" style="1639" width="3.00390625" customWidth="1"/>
    <col min="9" max="10" style="1639" width="11.00390625" customWidth="1"/>
    <col min="11" max="12" style="1639" width="35.00390625" customWidth="1"/>
    <col min="13" max="13" style="1639" width="84.00390625" customWidth="1"/>
    <col min="14" max="14" style="1639" width="10.00390625" customWidth="1"/>
    <col min="15" max="16" style="1628" width="10.00390625" customWidth="1"/>
    <col min="17" max="33" style="1639" width="10.00390625" customWidth="1"/>
    <col min="34" max="34" style="1639" width="10.57421875" hidden="1"/>
  </cols>
  <sheetData>
    <row s="1639" customFormat="1" customHeight="1" ht="22.5" hidden="1">
      <c r="A1" s="1783"/>
      <c r="B1" s="1783"/>
      <c r="C1" s="373"/>
      <c r="D1" s="348"/>
      <c r="N1" s="1640">
        <f>_xlfn.IFERROR(MATCH("метод экономически обоснованных расходов (затрат)",OFFER_METHOD,0),0)</f>
        <v>0</v>
      </c>
      <c r="O1" s="1628"/>
      <c r="P1" s="1628"/>
      <c r="T1" s="835"/>
      <c r="AG1" s="259"/>
      <c r="AH1" s="1635" t="s">
        <v>14</v>
      </c>
    </row>
    <row s="1639" customFormat="1" customHeight="1" ht="18.75" hidden="1">
      <c r="A2" s="1784" t="s">
        <v>175</v>
      </c>
      <c r="B2" s="1784" t="s">
        <v>176</v>
      </c>
      <c r="C2" s="373"/>
      <c r="D2" s="348"/>
      <c r="E2" s="1035"/>
      <c r="F2" s="1035"/>
      <c r="G2" s="2431" t="str">
        <f>INDEX(PT_DIFFERENTIATION_NTAR,MATCH(B2,PT_DIFFERENTIATION_NTAR_ID,0))</f>
        <v/>
      </c>
      <c r="H2" s="1868"/>
      <c r="I2" s="1743"/>
      <c r="J2" s="1777"/>
      <c r="K2" s="1869"/>
      <c r="L2" s="1868" t="s">
        <v>324</v>
      </c>
      <c r="M2" s="1879"/>
      <c r="N2" s="338"/>
      <c r="O2" s="1628"/>
      <c r="P2" s="1628"/>
      <c r="AH2" s="1635">
        <v>0</v>
      </c>
    </row>
    <row s="1639" customFormat="1" customHeight="1" ht="18.75" hidden="1">
      <c r="A3" s="1784"/>
      <c r="B3" s="1784"/>
      <c r="C3" s="373" t="s">
        <v>1461</v>
      </c>
      <c r="D3" s="348"/>
      <c r="E3" s="1035"/>
      <c r="F3" s="1035"/>
      <c r="G3" s="2431"/>
      <c r="H3" s="1504"/>
      <c r="I3" s="655" t="s">
        <v>1462</v>
      </c>
      <c r="J3" s="575"/>
      <c r="K3" s="1504"/>
      <c r="L3" s="218"/>
      <c r="M3" s="1879"/>
      <c r="N3" s="338"/>
      <c r="O3" s="1628"/>
      <c r="P3" s="1628"/>
      <c r="AH3" s="1635">
        <v>0</v>
      </c>
    </row>
    <row s="1639" customFormat="1" customHeight="1" ht="14.25" hidden="1">
      <c r="A4" s="1783"/>
      <c r="B4" s="1783"/>
      <c r="C4" s="373"/>
      <c r="D4" s="348"/>
      <c r="N4" s="1640">
        <f>_xlfn.IFERROR(MATCH("метод экономически обоснованных расходов (затрат)",OFFER_METHOD,0),0)</f>
        <v>0</v>
      </c>
      <c r="O4" s="1628"/>
      <c r="P4" s="1628"/>
      <c r="T4" s="835"/>
      <c r="AG4" s="259"/>
      <c r="AH4" s="1635">
        <v>0</v>
      </c>
    </row>
    <row s="1639" customFormat="1" customHeight="1" ht="18.75" hidden="1">
      <c r="A5" s="1784" t="s">
        <v>175</v>
      </c>
      <c r="B5" s="1784" t="s">
        <v>176</v>
      </c>
      <c r="C5" s="373"/>
      <c r="D5" s="348"/>
      <c r="E5" s="1035"/>
      <c r="F5" s="1035"/>
      <c r="G5" s="2431" t="str">
        <f>INDEX(PT_DIFFERENTIATION_NTAR,MATCH(B5,PT_DIFFERENTIATION_NTAR_ID,0))</f>
        <v/>
      </c>
      <c r="H5" s="1868"/>
      <c r="I5" s="1743"/>
      <c r="J5" s="1777"/>
      <c r="K5" s="1782"/>
      <c r="L5" s="1868" t="s">
        <v>324</v>
      </c>
      <c r="M5" s="1879"/>
      <c r="N5" s="338"/>
      <c r="O5" s="1628"/>
      <c r="P5" s="1628"/>
      <c r="AH5" s="1635">
        <v>0</v>
      </c>
    </row>
    <row s="1639" customFormat="1" customHeight="1" ht="18.75" hidden="1">
      <c r="A6" s="1784"/>
      <c r="B6" s="1784"/>
      <c r="C6" s="373" t="s">
        <v>1463</v>
      </c>
      <c r="D6" s="348"/>
      <c r="E6" s="1035"/>
      <c r="F6" s="1035"/>
      <c r="G6" s="2431"/>
      <c r="H6" s="1504"/>
      <c r="I6" s="655" t="s">
        <v>1462</v>
      </c>
      <c r="J6" s="575"/>
      <c r="K6" s="1504"/>
      <c r="L6" s="218"/>
      <c r="M6" s="1879"/>
      <c r="N6" s="338"/>
      <c r="O6" s="1628"/>
      <c r="P6" s="1628"/>
      <c r="AH6" s="1635">
        <v>0</v>
      </c>
    </row>
    <row s="1639" customFormat="1" customHeight="1" ht="14.25" hidden="1">
      <c r="A7" s="1783"/>
      <c r="B7" s="1783"/>
      <c r="C7" s="373"/>
      <c r="D7" s="348"/>
      <c r="N7" s="1640">
        <f>_xlfn.IFERROR(MATCH("метод экономически обоснованных расходов (затрат)",OFFER_METHOD,0),0)</f>
        <v>0</v>
      </c>
      <c r="O7" s="1628"/>
      <c r="P7" s="1628"/>
      <c r="T7" s="835"/>
      <c r="AG7" s="259"/>
      <c r="AH7" s="1635">
        <v>0</v>
      </c>
    </row>
    <row s="1639" customFormat="1" customHeight="1" ht="56.25" hidden="1">
      <c r="A8" s="1784"/>
      <c r="B8" s="1784"/>
      <c r="C8" s="373"/>
      <c r="D8" s="348"/>
      <c r="E8" s="1035"/>
      <c r="F8" s="1035"/>
      <c r="G8" s="1035"/>
      <c r="H8" s="1775"/>
      <c r="I8" s="1743"/>
      <c r="J8" s="1777"/>
      <c r="K8" s="1869"/>
      <c r="L8" s="1775" t="s">
        <v>324</v>
      </c>
      <c r="M8" s="1879"/>
      <c r="N8" s="338"/>
      <c r="O8" s="1628"/>
      <c r="P8" s="1628"/>
      <c r="AH8" s="1635">
        <v>0</v>
      </c>
    </row>
    <row customHeight="1" ht="14.25" hidden="1">
      <c r="T9" s="401"/>
      <c r="AG9" s="259"/>
      <c r="AH9" s="378">
        <v>0</v>
      </c>
    </row>
    <row s="1639" customFormat="1" customHeight="1" ht="56.25" hidden="1">
      <c r="A10" s="1784"/>
      <c r="B10" s="1784"/>
      <c r="C10" s="373"/>
      <c r="D10" s="348"/>
      <c r="E10" s="1035"/>
      <c r="F10" s="1035"/>
      <c r="G10" s="1035"/>
      <c r="H10" s="1774"/>
      <c r="I10" s="1743"/>
      <c r="J10" s="1777"/>
      <c r="K10" s="1782"/>
      <c r="L10" s="1775" t="s">
        <v>324</v>
      </c>
      <c r="M10" s="1879"/>
      <c r="N10" s="338"/>
      <c r="O10" s="1628"/>
      <c r="P10" s="1628"/>
      <c r="AH10" s="1635">
        <v>0</v>
      </c>
    </row>
    <row customHeight="1" ht="14.25" hidden="1">
      <c r="AH11" s="378">
        <v>0</v>
      </c>
    </row>
    <row customHeight="1" ht="14.25" hidden="1">
      <c r="AH12" s="378">
        <v>0</v>
      </c>
    </row>
    <row customHeight="1" ht="6.3">
      <c r="D13" s="380"/>
      <c r="E13" s="367"/>
      <c r="F13" s="367"/>
      <c r="G13" s="367"/>
      <c r="H13" s="367"/>
      <c r="I13" s="367"/>
      <c r="J13" s="367"/>
      <c r="K13" s="367"/>
      <c r="L13" s="89"/>
      <c r="M13" s="89"/>
      <c r="AH13" s="378">
        <v>6</v>
      </c>
    </row>
    <row customHeight="1" ht="14.699999999999998">
      <c r="D14" s="380"/>
      <c r="E14" s="24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9"/>
      <c r="G14" s="2469"/>
      <c r="H14" s="2469"/>
      <c r="I14" s="2469"/>
      <c r="J14" s="2469"/>
      <c r="K14" s="2469"/>
      <c r="L14" s="2469"/>
      <c r="M14" s="224"/>
      <c r="AH14" s="378">
        <v>14</v>
      </c>
    </row>
    <row customHeight="1" ht="6.3">
      <c r="D15" s="380"/>
      <c r="E15" s="367"/>
      <c r="F15" s="393"/>
      <c r="G15" s="393"/>
      <c r="H15" s="393"/>
      <c r="I15" s="393"/>
      <c r="J15" s="393"/>
      <c r="K15" s="393"/>
      <c r="L15" s="326"/>
      <c r="M15" s="197"/>
      <c r="AH15" s="378">
        <v>6</v>
      </c>
    </row>
    <row customHeight="1" ht="24">
      <c r="D16" s="380"/>
      <c r="E16" s="367"/>
      <c r="F16" s="309" t="str">
        <f>"Дата подачи заявления об "&amp;IF(TITLE_DATE_PR_CHANGE="","утверждении","изменении")&amp;" тарифов"</f>
        <v>Дата подачи заявления об утверждении тарифов</v>
      </c>
      <c r="G16" s="2268" t="str">
        <f>IF(TITLE_DATE_PR_CHANGE="",IF(TITLE_DATE_PR="","",TITLE_DATE_PR),TITLE_DATE_PR_CHANGE)</f>
        <v/>
      </c>
      <c r="H16" s="2268"/>
      <c r="I16" s="2268"/>
      <c r="J16" s="2268"/>
      <c r="K16" s="2268"/>
      <c r="L16" s="2268"/>
      <c r="M16" s="402"/>
      <c r="N16" s="330"/>
      <c r="AH16" s="378">
        <v>23</v>
      </c>
    </row>
    <row customHeight="1" ht="24">
      <c r="D17" s="380"/>
      <c r="E17" s="367"/>
      <c r="F17" s="309" t="str">
        <f>"Номер подачи заявления об "&amp;IF(TITLE_DATE_PR_CHANGE="","утверждении","изменении")&amp;" тарифов"</f>
        <v>Номер подачи заявления об утверждении тарифов</v>
      </c>
      <c r="G17" s="2255" t="str">
        <f>IF(TITLE_NUMBER_PR_CHANGE="",IF(TITLE_NUMBER_PR="","",TITLE_NUMBER_PR),TITLE_NUMBER_PR_CHANGE)</f>
        <v/>
      </c>
      <c r="H17" s="2255"/>
      <c r="I17" s="2255"/>
      <c r="J17" s="2255"/>
      <c r="K17" s="2255"/>
      <c r="L17" s="2255"/>
      <c r="M17" s="402"/>
      <c r="N17" s="330"/>
      <c r="AH17" s="378">
        <v>23</v>
      </c>
    </row>
    <row customHeight="1" ht="14.699999999999998">
      <c r="D18" s="380"/>
      <c r="E18" s="367"/>
      <c r="F18" s="393"/>
      <c r="G18" s="393"/>
      <c r="H18" s="393"/>
      <c r="I18" s="393"/>
      <c r="J18" s="393"/>
      <c r="K18" s="393"/>
      <c r="L18" s="756"/>
      <c r="M18" s="197"/>
      <c r="AH18" s="378">
        <v>14</v>
      </c>
    </row>
    <row customHeight="1" ht="22.049999999999997">
      <c r="D19" s="380"/>
      <c r="E19" s="2213" t="s">
        <v>318</v>
      </c>
      <c r="F19" s="2213"/>
      <c r="G19" s="2213"/>
      <c r="H19" s="2213"/>
      <c r="I19" s="2213"/>
      <c r="J19" s="2213"/>
      <c r="K19" s="2213"/>
      <c r="L19" s="2213"/>
      <c r="M19" s="2393" t="s">
        <v>319</v>
      </c>
      <c r="AH19" s="378">
        <v>21</v>
      </c>
    </row>
    <row customHeight="1" ht="22.049999999999997">
      <c r="D20" s="380"/>
      <c r="E20" s="2281" t="s">
        <v>88</v>
      </c>
      <c r="F20" s="2228" t="s">
        <v>142</v>
      </c>
      <c r="G20" s="2228" t="s">
        <v>143</v>
      </c>
      <c r="H20" s="2390" t="s">
        <v>1464</v>
      </c>
      <c r="I20" s="2391"/>
      <c r="J20" s="2437"/>
      <c r="K20" s="2228" t="s">
        <v>321</v>
      </c>
      <c r="L20" s="2228" t="s">
        <v>408</v>
      </c>
      <c r="M20" s="2393"/>
      <c r="AH20" s="378">
        <v>21</v>
      </c>
    </row>
    <row customHeight="1" ht="22.049999999999997">
      <c r="D21" s="380"/>
      <c r="E21" s="2283"/>
      <c r="F21" s="2229"/>
      <c r="G21" s="2229"/>
      <c r="H21" s="2222" t="s">
        <v>1465</v>
      </c>
      <c r="I21" s="2224"/>
      <c r="J21" s="112" t="s">
        <v>1466</v>
      </c>
      <c r="K21" s="2229"/>
      <c r="L21" s="2229"/>
      <c r="M21" s="2393"/>
      <c r="AH21" s="378">
        <v>21</v>
      </c>
    </row>
    <row customHeight="1" ht="12.75">
      <c r="D22" s="380"/>
      <c r="E22" s="285"/>
      <c r="F22" s="285"/>
      <c r="G22" s="285"/>
      <c r="H22" s="2471"/>
      <c r="I22" s="2471"/>
      <c r="J22" s="285"/>
      <c r="K22" s="285"/>
      <c r="L22" s="285"/>
      <c r="M22" s="285"/>
      <c r="AH22" s="378">
        <v>12</v>
      </c>
    </row>
    <row customHeight="1" ht="19.95">
      <c r="A23" s="1784"/>
      <c r="B23" s="1784"/>
      <c r="D23" s="380"/>
      <c r="E23" s="1870" t="s">
        <v>119</v>
      </c>
      <c r="F23" s="2472" t="str">
        <f>"Предлагаемый метод регулирования"&amp;IF(TEMPLATE_SPHERE="HEAT"," в сфере "&amp;TEMPLATE_SPHERE_RUS,"")</f>
        <v>Предлагаемый метод регулирования в сфере теплоснабжения</v>
      </c>
      <c r="G23" s="2473"/>
      <c r="H23" s="2465"/>
      <c r="I23" s="2465"/>
      <c r="J23" s="2465"/>
      <c r="K23" s="2473" t="s">
        <v>324</v>
      </c>
      <c r="L23" s="2465"/>
      <c r="M23" s="1773"/>
      <c r="N23" s="338"/>
      <c r="AH23" s="378">
        <v>19</v>
      </c>
    </row>
    <row customHeight="1" ht="60.75" hidden="1">
      <c r="A24" s="1784" t="s">
        <v>175</v>
      </c>
      <c r="B24" s="1784" t="s">
        <v>176</v>
      </c>
      <c r="D24" s="2470"/>
      <c r="E24" s="2208"/>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1" t="str">
        <f>INDEX(PT_DIFFERENTIATION_NTAR,MATCH(B24,PT_DIFFERENTIATION_NTAR_ID,0))</f>
        <v/>
      </c>
      <c r="H24" s="1866"/>
      <c r="I24" s="1743"/>
      <c r="J24" s="1777"/>
      <c r="K24" s="1869"/>
      <c r="L24" s="1772" t="s">
        <v>324</v>
      </c>
      <c r="M24"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8"/>
      <c r="AH24" s="378">
        <v>0</v>
      </c>
    </row>
    <row s="1639" customFormat="1" customHeight="1" ht="18.75" hidden="1">
      <c r="A25" s="1784"/>
      <c r="B25" s="1784"/>
      <c r="C25" s="373" t="s">
        <v>1461</v>
      </c>
      <c r="D25" s="2470"/>
      <c r="E25" s="2208"/>
      <c r="F25" s="2474"/>
      <c r="G25" s="2431"/>
      <c r="H25" s="1504"/>
      <c r="I25" s="655" t="s">
        <v>1462</v>
      </c>
      <c r="J25" s="575"/>
      <c r="K25" s="1504"/>
      <c r="L25" s="218"/>
      <c r="M25" s="2174"/>
      <c r="N25" s="338"/>
      <c r="O25" s="1628"/>
      <c r="P25" s="1628"/>
      <c r="AH25" s="1635">
        <v>0</v>
      </c>
    </row>
    <row customHeight="1" ht="0.75" hidden="1">
      <c r="A26" s="1784"/>
      <c r="B26" s="1784"/>
      <c r="C26" s="373" t="s">
        <v>1467</v>
      </c>
      <c r="D26" s="2470"/>
      <c r="E26" s="2208"/>
      <c r="F26" s="2387"/>
      <c r="G26" s="404"/>
      <c r="H26" s="1504"/>
      <c r="I26" s="399"/>
      <c r="J26" s="353"/>
      <c r="K26" s="1504"/>
      <c r="L26" s="205"/>
      <c r="M26" s="2174"/>
      <c r="N26" s="338"/>
      <c r="AH26" s="378">
        <v>0</v>
      </c>
    </row>
    <row s="1639" customFormat="1" customHeight="1" ht="45" hidden="1">
      <c r="A27" s="1784" t="s">
        <v>180</v>
      </c>
      <c r="B27" s="1784" t="s">
        <v>181</v>
      </c>
      <c r="C27" s="373"/>
      <c r="D27" s="2466"/>
      <c r="E27" s="2467"/>
      <c r="F27" s="2468" t="str">
        <f>INDEX(PT_DIFFERENTIATION_VTAR,MATCH(A27,PT_DIFFERENTIATION_VTAR_ID,0))</f>
        <v/>
      </c>
      <c r="G27" s="2431" t="str">
        <f>INDEX(PT_DIFFERENTIATION_NTAR,MATCH(B27,PT_DIFFERENTIATION_NTAR_ID,0))</f>
        <v/>
      </c>
      <c r="H27" s="1866"/>
      <c r="I27" s="1743"/>
      <c r="J27" s="1777"/>
      <c r="K27" s="1869"/>
      <c r="L27" s="1866" t="s">
        <v>324</v>
      </c>
      <c r="M27" s="2174"/>
      <c r="N27" s="338"/>
      <c r="O27" s="1628"/>
      <c r="P27" s="1628"/>
      <c r="AH27" s="1635">
        <v>0</v>
      </c>
    </row>
    <row s="1639" customFormat="1" customHeight="1" ht="18.75" hidden="1">
      <c r="A28" s="1784"/>
      <c r="B28" s="1784"/>
      <c r="C28" s="373" t="s">
        <v>1461</v>
      </c>
      <c r="D28" s="2466"/>
      <c r="E28" s="2467"/>
      <c r="F28" s="2468"/>
      <c r="G28" s="2431"/>
      <c r="H28" s="1504"/>
      <c r="I28" s="655" t="s">
        <v>1462</v>
      </c>
      <c r="J28" s="575"/>
      <c r="K28" s="1504"/>
      <c r="L28" s="218"/>
      <c r="M28" s="2174"/>
      <c r="N28" s="338"/>
      <c r="O28" s="1628"/>
      <c r="P28" s="1628"/>
      <c r="AH28" s="1635">
        <v>0</v>
      </c>
    </row>
    <row s="1639" customFormat="1" customHeight="1" ht="0.75" hidden="1">
      <c r="A29" s="1784"/>
      <c r="B29" s="1784"/>
      <c r="C29" s="373" t="s">
        <v>1467</v>
      </c>
      <c r="D29" s="2466"/>
      <c r="E29" s="2208"/>
      <c r="F29" s="2387"/>
      <c r="G29" s="404"/>
      <c r="H29" s="1504"/>
      <c r="I29" s="655"/>
      <c r="J29" s="575"/>
      <c r="K29" s="1504"/>
      <c r="L29" s="218"/>
      <c r="M29" s="2174"/>
      <c r="N29" s="338"/>
      <c r="O29" s="1628"/>
      <c r="P29" s="1628"/>
      <c r="AH29" s="1635">
        <v>0</v>
      </c>
    </row>
    <row s="1639" customFormat="1" customHeight="1" ht="45" hidden="1">
      <c r="A30" s="1784" t="s">
        <v>187</v>
      </c>
      <c r="B30" s="1784" t="s">
        <v>188</v>
      </c>
      <c r="C30" s="373"/>
      <c r="D30" s="2466"/>
      <c r="E30" s="2208"/>
      <c r="F30" s="23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1" t="str">
        <f>INDEX(PT_DIFFERENTIATION_NTAR,MATCH(B30,PT_DIFFERENTIATION_NTAR_ID,0))</f>
        <v/>
      </c>
      <c r="H30" s="1866"/>
      <c r="I30" s="1743"/>
      <c r="J30" s="1777"/>
      <c r="K30" s="1869"/>
      <c r="L30" s="1866" t="s">
        <v>324</v>
      </c>
      <c r="M30" s="2174"/>
      <c r="N30" s="338"/>
      <c r="O30" s="1628"/>
      <c r="P30" s="1628"/>
      <c r="AH30" s="1635">
        <v>0</v>
      </c>
    </row>
    <row s="1639" customFormat="1" customHeight="1" ht="18.75" hidden="1">
      <c r="A31" s="1784"/>
      <c r="B31" s="1784"/>
      <c r="C31" s="373" t="s">
        <v>1461</v>
      </c>
      <c r="D31" s="2466"/>
      <c r="E31" s="2208"/>
      <c r="F31" s="2387"/>
      <c r="G31" s="2431"/>
      <c r="H31" s="1504"/>
      <c r="I31" s="655" t="s">
        <v>1462</v>
      </c>
      <c r="J31" s="575"/>
      <c r="K31" s="1504"/>
      <c r="L31" s="218"/>
      <c r="M31" s="2174"/>
      <c r="N31" s="338"/>
      <c r="O31" s="1628"/>
      <c r="P31" s="1628"/>
      <c r="AH31" s="1635">
        <v>0</v>
      </c>
    </row>
    <row s="1639" customFormat="1" customHeight="1" ht="0.75" hidden="1">
      <c r="A32" s="1784"/>
      <c r="B32" s="1784"/>
      <c r="C32" s="373" t="s">
        <v>1467</v>
      </c>
      <c r="D32" s="2466"/>
      <c r="E32" s="2208"/>
      <c r="F32" s="2387"/>
      <c r="G32" s="404"/>
      <c r="H32" s="1504"/>
      <c r="I32" s="655"/>
      <c r="J32" s="575"/>
      <c r="K32" s="1504"/>
      <c r="L32" s="218"/>
      <c r="M32" s="2174"/>
      <c r="N32" s="338"/>
      <c r="O32" s="1628"/>
      <c r="P32" s="1628"/>
      <c r="AH32" s="1635">
        <v>0</v>
      </c>
    </row>
    <row s="1639" customFormat="1" customHeight="1" ht="45" hidden="1">
      <c r="A33" s="1784" t="s">
        <v>193</v>
      </c>
      <c r="B33" s="1784" t="s">
        <v>194</v>
      </c>
      <c r="C33" s="373"/>
      <c r="D33" s="2466"/>
      <c r="E33" s="2208"/>
      <c r="F33" s="23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1" t="str">
        <f>INDEX(PT_DIFFERENTIATION_NTAR,MATCH(B33,PT_DIFFERENTIATION_NTAR_ID,0))</f>
        <v/>
      </c>
      <c r="H33" s="1866"/>
      <c r="I33" s="1743"/>
      <c r="J33" s="1777"/>
      <c r="K33" s="1869"/>
      <c r="L33" s="1866" t="s">
        <v>324</v>
      </c>
      <c r="M33" s="2174"/>
      <c r="N33" s="338"/>
      <c r="O33" s="1628"/>
      <c r="P33" s="1628"/>
      <c r="AH33" s="1635">
        <v>0</v>
      </c>
    </row>
    <row s="1639" customFormat="1" customHeight="1" ht="18.75" hidden="1">
      <c r="A34" s="1784"/>
      <c r="B34" s="1784"/>
      <c r="C34" s="373" t="s">
        <v>1461</v>
      </c>
      <c r="D34" s="2466"/>
      <c r="E34" s="2208"/>
      <c r="F34" s="2387"/>
      <c r="G34" s="2431"/>
      <c r="H34" s="1504"/>
      <c r="I34" s="655" t="s">
        <v>1462</v>
      </c>
      <c r="J34" s="575"/>
      <c r="K34" s="1504"/>
      <c r="L34" s="218"/>
      <c r="M34" s="2174"/>
      <c r="N34" s="338"/>
      <c r="O34" s="1628"/>
      <c r="P34" s="1628"/>
      <c r="AH34" s="1635">
        <v>0</v>
      </c>
    </row>
    <row s="1639" customFormat="1" customHeight="1" ht="0.75" hidden="1">
      <c r="A35" s="1784"/>
      <c r="B35" s="1784"/>
      <c r="C35" s="373" t="s">
        <v>1467</v>
      </c>
      <c r="D35" s="2466"/>
      <c r="E35" s="2208"/>
      <c r="F35" s="2387"/>
      <c r="G35" s="404"/>
      <c r="H35" s="1504"/>
      <c r="I35" s="655"/>
      <c r="J35" s="575"/>
      <c r="K35" s="1504"/>
      <c r="L35" s="218"/>
      <c r="M35" s="2174"/>
      <c r="N35" s="338"/>
      <c r="O35" s="1628"/>
      <c r="P35" s="1628"/>
      <c r="AH35" s="1635">
        <v>0</v>
      </c>
    </row>
    <row s="1639" customFormat="1" customHeight="1" ht="18.75" hidden="1">
      <c r="A36" s="1784" t="s">
        <v>199</v>
      </c>
      <c r="B36" s="1784" t="s">
        <v>200</v>
      </c>
      <c r="C36" s="373"/>
      <c r="D36" s="2466"/>
      <c r="E36" s="2208"/>
      <c r="F36" s="2387" t="str">
        <f>INDEX(PT_DIFFERENTIATION_VTAR,MATCH(A36,PT_DIFFERENTIATION_VTAR_ID,0))</f>
        <v>Тарифы на услуги по передаче тепловой энергии</v>
      </c>
      <c r="G36" s="2431" t="str">
        <f>INDEX(PT_DIFFERENTIATION_NTAR,MATCH(B36,PT_DIFFERENTIATION_NTAR_ID,0))</f>
        <v/>
      </c>
      <c r="H36" s="1866"/>
      <c r="I36" s="1743"/>
      <c r="J36" s="1777"/>
      <c r="K36" s="1869"/>
      <c r="L36" s="1866" t="s">
        <v>324</v>
      </c>
      <c r="M36" s="2174"/>
      <c r="N36" s="338"/>
      <c r="O36" s="1628"/>
      <c r="P36" s="1628"/>
      <c r="AH36" s="1635">
        <v>0</v>
      </c>
    </row>
    <row s="1639" customFormat="1" customHeight="1" ht="18.75" hidden="1">
      <c r="A37" s="1784"/>
      <c r="B37" s="1784"/>
      <c r="C37" s="373" t="s">
        <v>1461</v>
      </c>
      <c r="D37" s="2466"/>
      <c r="E37" s="2208"/>
      <c r="F37" s="2387"/>
      <c r="G37" s="2431"/>
      <c r="H37" s="1504"/>
      <c r="I37" s="655" t="s">
        <v>1462</v>
      </c>
      <c r="J37" s="575"/>
      <c r="K37" s="1504"/>
      <c r="L37" s="218"/>
      <c r="M37" s="2174"/>
      <c r="N37" s="338"/>
      <c r="O37" s="1628"/>
      <c r="P37" s="1628"/>
      <c r="AH37" s="1635">
        <v>0</v>
      </c>
    </row>
    <row s="1639" customFormat="1" customHeight="1" ht="0.75" hidden="1">
      <c r="A38" s="1784"/>
      <c r="B38" s="1784"/>
      <c r="C38" s="373" t="s">
        <v>1467</v>
      </c>
      <c r="D38" s="2466"/>
      <c r="E38" s="2208"/>
      <c r="F38" s="2387"/>
      <c r="G38" s="404"/>
      <c r="H38" s="1504"/>
      <c r="I38" s="655"/>
      <c r="J38" s="575"/>
      <c r="K38" s="1504"/>
      <c r="L38" s="218"/>
      <c r="M38" s="2174"/>
      <c r="N38" s="338"/>
      <c r="O38" s="1628"/>
      <c r="P38" s="1628"/>
      <c r="AH38" s="1635">
        <v>0</v>
      </c>
    </row>
    <row s="1639" customFormat="1" customHeight="1" ht="18.75" hidden="1">
      <c r="A39" s="1784" t="s">
        <v>205</v>
      </c>
      <c r="B39" s="1784" t="s">
        <v>206</v>
      </c>
      <c r="C39" s="373"/>
      <c r="D39" s="2466"/>
      <c r="E39" s="2208"/>
      <c r="F39" s="2387" t="str">
        <f>INDEX(PT_DIFFERENTIATION_VTAR,MATCH(A39,PT_DIFFERENTIATION_VTAR_ID,0))</f>
        <v>Тарифы на услуги по передаче теплоносителя</v>
      </c>
      <c r="G39" s="2431" t="str">
        <f>INDEX(PT_DIFFERENTIATION_NTAR,MATCH(B39,PT_DIFFERENTIATION_NTAR_ID,0))</f>
        <v/>
      </c>
      <c r="H39" s="1866"/>
      <c r="I39" s="1743"/>
      <c r="J39" s="1777"/>
      <c r="K39" s="1869"/>
      <c r="L39" s="1866" t="s">
        <v>324</v>
      </c>
      <c r="M39" s="2174"/>
      <c r="N39" s="338"/>
      <c r="O39" s="1628"/>
      <c r="P39" s="1628"/>
      <c r="AH39" s="1635">
        <v>0</v>
      </c>
    </row>
    <row s="1639" customFormat="1" customHeight="1" ht="18.75" hidden="1">
      <c r="A40" s="1784"/>
      <c r="B40" s="1784"/>
      <c r="C40" s="373" t="s">
        <v>1461</v>
      </c>
      <c r="D40" s="2466"/>
      <c r="E40" s="2208"/>
      <c r="F40" s="2387"/>
      <c r="G40" s="2431"/>
      <c r="H40" s="1504"/>
      <c r="I40" s="655" t="s">
        <v>1462</v>
      </c>
      <c r="J40" s="575"/>
      <c r="K40" s="1504"/>
      <c r="L40" s="218"/>
      <c r="M40" s="2174"/>
      <c r="N40" s="338"/>
      <c r="O40" s="1628"/>
      <c r="P40" s="1628"/>
      <c r="AH40" s="1635">
        <v>0</v>
      </c>
    </row>
    <row s="1639" customFormat="1" customHeight="1" ht="0.75" hidden="1">
      <c r="A41" s="1784"/>
      <c r="B41" s="1784"/>
      <c r="C41" s="373" t="s">
        <v>1467</v>
      </c>
      <c r="D41" s="2466"/>
      <c r="E41" s="2208"/>
      <c r="F41" s="2387"/>
      <c r="G41" s="404"/>
      <c r="H41" s="1504"/>
      <c r="I41" s="655"/>
      <c r="J41" s="575"/>
      <c r="K41" s="1504"/>
      <c r="L41" s="218"/>
      <c r="M41" s="2174"/>
      <c r="N41" s="338"/>
      <c r="O41" s="1628"/>
      <c r="P41" s="1628"/>
      <c r="AH41" s="1635">
        <v>0</v>
      </c>
    </row>
    <row s="1639" customFormat="1" customHeight="1" ht="18.75" hidden="1">
      <c r="A42" s="1784" t="s">
        <v>211</v>
      </c>
      <c r="B42" s="1784" t="s">
        <v>212</v>
      </c>
      <c r="C42" s="373"/>
      <c r="D42" s="2466"/>
      <c r="E42" s="2208"/>
      <c r="F42" s="238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1" t="str">
        <f>INDEX(PT_DIFFERENTIATION_NTAR,MATCH(B42,PT_DIFFERENTIATION_NTAR_ID,0))</f>
        <v/>
      </c>
      <c r="H42" s="1866"/>
      <c r="I42" s="1743"/>
      <c r="J42" s="1777"/>
      <c r="K42" s="1869"/>
      <c r="L42" s="1866" t="s">
        <v>324</v>
      </c>
      <c r="M42" s="2174"/>
      <c r="N42" s="338"/>
      <c r="O42" s="1628"/>
      <c r="P42" s="1628"/>
      <c r="AH42" s="1635">
        <v>0</v>
      </c>
    </row>
    <row s="1639" customFormat="1" customHeight="1" ht="18.75" hidden="1">
      <c r="A43" s="1784"/>
      <c r="B43" s="1784"/>
      <c r="C43" s="373" t="s">
        <v>1461</v>
      </c>
      <c r="D43" s="2466"/>
      <c r="E43" s="2208"/>
      <c r="F43" s="2387"/>
      <c r="G43" s="2431"/>
      <c r="H43" s="1504"/>
      <c r="I43" s="655" t="s">
        <v>1462</v>
      </c>
      <c r="J43" s="575"/>
      <c r="K43" s="1504"/>
      <c r="L43" s="218"/>
      <c r="M43" s="2174"/>
      <c r="N43" s="338"/>
      <c r="O43" s="1628"/>
      <c r="P43" s="1628"/>
      <c r="AH43" s="1635">
        <v>0</v>
      </c>
    </row>
    <row s="1639" customFormat="1" customHeight="1" ht="0.75" hidden="1">
      <c r="A44" s="1784"/>
      <c r="B44" s="1784"/>
      <c r="C44" s="373" t="s">
        <v>1467</v>
      </c>
      <c r="D44" s="2466"/>
      <c r="E44" s="2208"/>
      <c r="F44" s="2387"/>
      <c r="G44" s="404"/>
      <c r="H44" s="1504"/>
      <c r="I44" s="655"/>
      <c r="J44" s="575"/>
      <c r="K44" s="1504"/>
      <c r="L44" s="218"/>
      <c r="M44" s="2174"/>
      <c r="N44" s="338"/>
      <c r="O44" s="1628"/>
      <c r="P44" s="1628"/>
      <c r="AH44" s="1635">
        <v>0</v>
      </c>
    </row>
    <row s="1639" customFormat="1" customHeight="1" ht="18.75" hidden="1">
      <c r="A45" s="1784" t="s">
        <v>217</v>
      </c>
      <c r="B45" s="1784" t="s">
        <v>218</v>
      </c>
      <c r="C45" s="373"/>
      <c r="D45" s="2466"/>
      <c r="E45" s="2208"/>
      <c r="F45" s="2387" t="str">
        <f>INDEX(PT_DIFFERENTIATION_VTAR,MATCH(A45,PT_DIFFERENTIATION_VTAR_ID,0))</f>
        <v>Плата за подключение (технологическое присоединение) к системе теплоснабжения</v>
      </c>
      <c r="G45" s="2431" t="str">
        <f>INDEX(PT_DIFFERENTIATION_NTAR,MATCH(B45,PT_DIFFERENTIATION_NTAR_ID,0))</f>
        <v/>
      </c>
      <c r="H45" s="1866"/>
      <c r="I45" s="1743"/>
      <c r="J45" s="1777"/>
      <c r="K45" s="1869"/>
      <c r="L45" s="1866" t="s">
        <v>324</v>
      </c>
      <c r="M45" s="2174"/>
      <c r="N45" s="338"/>
      <c r="O45" s="1628"/>
      <c r="P45" s="1628"/>
      <c r="AH45" s="1635">
        <v>0</v>
      </c>
    </row>
    <row s="1639" customFormat="1" customHeight="1" ht="18.75" hidden="1">
      <c r="A46" s="1784"/>
      <c r="B46" s="1784"/>
      <c r="C46" s="373" t="s">
        <v>1461</v>
      </c>
      <c r="D46" s="2466"/>
      <c r="E46" s="2208"/>
      <c r="F46" s="2387"/>
      <c r="G46" s="2431"/>
      <c r="H46" s="1504"/>
      <c r="I46" s="655" t="s">
        <v>1462</v>
      </c>
      <c r="J46" s="575"/>
      <c r="K46" s="1504"/>
      <c r="L46" s="218"/>
      <c r="M46" s="2174"/>
      <c r="N46" s="338"/>
      <c r="O46" s="1628"/>
      <c r="P46" s="1628"/>
      <c r="AH46" s="1635">
        <v>0</v>
      </c>
    </row>
    <row s="1639" customFormat="1" customHeight="1" ht="0.75" hidden="1">
      <c r="A47" s="1784"/>
      <c r="B47" s="1784"/>
      <c r="C47" s="373" t="s">
        <v>1467</v>
      </c>
      <c r="D47" s="2466"/>
      <c r="E47" s="2208"/>
      <c r="F47" s="2387"/>
      <c r="G47" s="404"/>
      <c r="H47" s="1504"/>
      <c r="I47" s="655"/>
      <c r="J47" s="575"/>
      <c r="K47" s="1504"/>
      <c r="L47" s="218"/>
      <c r="M47" s="2174"/>
      <c r="N47" s="338"/>
      <c r="O47" s="1628"/>
      <c r="P47" s="1628"/>
      <c r="AH47" s="1635">
        <v>0</v>
      </c>
    </row>
    <row s="1639" customFormat="1" customHeight="1" ht="18.75" hidden="1">
      <c r="A48" s="1784" t="s">
        <v>223</v>
      </c>
      <c r="B48" s="1784" t="s">
        <v>224</v>
      </c>
      <c r="C48" s="373"/>
      <c r="D48" s="2466"/>
      <c r="E48" s="2208"/>
      <c r="F48" s="2387" t="str">
        <f>INDEX(PT_DIFFERENTIATION_VTAR,MATCH(A48,PT_DIFFERENTIATION_VTAR_ID,0))</f>
        <v>Плата за подключение (технологическое присоединение) к системе теплоснабжения (индивидуальная)</v>
      </c>
      <c r="G48" s="2431" t="str">
        <f>INDEX(PT_DIFFERENTIATION_NTAR,MATCH(B48,PT_DIFFERENTIATION_NTAR_ID,0))</f>
        <v/>
      </c>
      <c r="H48" s="1993"/>
      <c r="I48" s="1743"/>
      <c r="J48" s="1777"/>
      <c r="K48" s="1869"/>
      <c r="L48" s="1993" t="s">
        <v>324</v>
      </c>
      <c r="M48" s="2174"/>
      <c r="N48" s="338"/>
      <c r="O48" s="1628"/>
      <c r="P48" s="1628"/>
      <c r="AH48" s="1635">
        <v>0</v>
      </c>
    </row>
    <row s="1639" customFormat="1" customHeight="1" ht="18.75" hidden="1">
      <c r="A49" s="1784"/>
      <c r="B49" s="1784"/>
      <c r="C49" s="373" t="s">
        <v>1461</v>
      </c>
      <c r="D49" s="2466"/>
      <c r="E49" s="2208"/>
      <c r="F49" s="2387"/>
      <c r="G49" s="2431"/>
      <c r="H49" s="1504"/>
      <c r="I49" s="655" t="s">
        <v>1462</v>
      </c>
      <c r="J49" s="575"/>
      <c r="K49" s="1504"/>
      <c r="L49" s="218"/>
      <c r="M49" s="2174"/>
      <c r="N49" s="338"/>
      <c r="O49" s="1628"/>
      <c r="P49" s="1628"/>
      <c r="AH49" s="1635">
        <v>0</v>
      </c>
    </row>
    <row s="1639" customFormat="1" customHeight="1" ht="0.75" hidden="1">
      <c r="A50" s="1784"/>
      <c r="B50" s="1784"/>
      <c r="C50" s="373" t="s">
        <v>1467</v>
      </c>
      <c r="D50" s="2466"/>
      <c r="E50" s="2208"/>
      <c r="F50" s="2387"/>
      <c r="G50" s="404"/>
      <c r="H50" s="1504"/>
      <c r="I50" s="655"/>
      <c r="J50" s="575"/>
      <c r="K50" s="1504"/>
      <c r="L50" s="218"/>
      <c r="M50" s="2174"/>
      <c r="N50" s="338"/>
      <c r="O50" s="1628"/>
      <c r="P50" s="1628"/>
      <c r="AH50" s="1635">
        <v>0</v>
      </c>
    </row>
    <row s="1639" customFormat="1" customHeight="1" ht="18.75" hidden="1">
      <c r="A51" s="1784" t="s">
        <v>243</v>
      </c>
      <c r="B51" s="1784" t="s">
        <v>244</v>
      </c>
      <c r="C51" s="373"/>
      <c r="D51" s="2466"/>
      <c r="E51" s="2208"/>
      <c r="F51" s="2387" t="str">
        <f>INDEX(PT_DIFFERENTIATION_VTAR,MATCH(A51,PT_DIFFERENTIATION_VTAR_ID,0))</f>
        <v>Тариф на питьевую воду (питьевое водоснабжение)</v>
      </c>
      <c r="G51" s="2431" t="str">
        <f>INDEX(PT_DIFFERENTIATION_NTAR,MATCH(B51,PT_DIFFERENTIATION_NTAR_ID,0))</f>
        <v/>
      </c>
      <c r="H51" s="1866"/>
      <c r="I51" s="1743"/>
      <c r="J51" s="1777"/>
      <c r="K51" s="1869"/>
      <c r="L51" s="1866" t="s">
        <v>324</v>
      </c>
      <c r="M51" s="2174"/>
      <c r="N51" s="338"/>
      <c r="O51" s="1628"/>
      <c r="P51" s="1628"/>
      <c r="AH51" s="1635">
        <v>0</v>
      </c>
    </row>
    <row s="1639" customFormat="1" customHeight="1" ht="18.75" hidden="1">
      <c r="A52" s="1784"/>
      <c r="B52" s="1784"/>
      <c r="C52" s="373" t="s">
        <v>1461</v>
      </c>
      <c r="D52" s="2466"/>
      <c r="E52" s="2208"/>
      <c r="F52" s="2387"/>
      <c r="G52" s="2431"/>
      <c r="H52" s="1504"/>
      <c r="I52" s="655" t="s">
        <v>1462</v>
      </c>
      <c r="J52" s="575"/>
      <c r="K52" s="1504"/>
      <c r="L52" s="218"/>
      <c r="M52" s="2174"/>
      <c r="N52" s="338"/>
      <c r="O52" s="1628"/>
      <c r="P52" s="1628"/>
      <c r="AH52" s="1635">
        <v>0</v>
      </c>
    </row>
    <row s="1639" customFormat="1" customHeight="1" ht="0.75" hidden="1">
      <c r="A53" s="1784"/>
      <c r="B53" s="1784"/>
      <c r="C53" s="373" t="s">
        <v>1467</v>
      </c>
      <c r="D53" s="2466"/>
      <c r="E53" s="2208"/>
      <c r="F53" s="2387"/>
      <c r="G53" s="404"/>
      <c r="H53" s="1504"/>
      <c r="I53" s="655"/>
      <c r="J53" s="575"/>
      <c r="K53" s="1504"/>
      <c r="L53" s="218"/>
      <c r="M53" s="2174"/>
      <c r="N53" s="338"/>
      <c r="O53" s="1628"/>
      <c r="P53" s="1628"/>
      <c r="AH53" s="1635">
        <v>0</v>
      </c>
    </row>
    <row s="1639" customFormat="1" customHeight="1" ht="18.75" hidden="1">
      <c r="A54" s="1784" t="s">
        <v>248</v>
      </c>
      <c r="B54" s="1784" t="s">
        <v>249</v>
      </c>
      <c r="C54" s="373"/>
      <c r="D54" s="2466"/>
      <c r="E54" s="2208"/>
      <c r="F54" s="2387" t="str">
        <f>INDEX(PT_DIFFERENTIATION_VTAR,MATCH(A54,PT_DIFFERENTIATION_VTAR_ID,0))</f>
        <v>Тариф на техническую воду</v>
      </c>
      <c r="G54" s="2431" t="str">
        <f>INDEX(PT_DIFFERENTIATION_NTAR,MATCH(B54,PT_DIFFERENTIATION_NTAR_ID,0))</f>
        <v/>
      </c>
      <c r="H54" s="1866"/>
      <c r="I54" s="1743"/>
      <c r="J54" s="1777"/>
      <c r="K54" s="1869"/>
      <c r="L54" s="1866" t="s">
        <v>324</v>
      </c>
      <c r="M54" s="2174"/>
      <c r="N54" s="338"/>
      <c r="O54" s="1628"/>
      <c r="P54" s="1628"/>
      <c r="AH54" s="1635">
        <v>0</v>
      </c>
    </row>
    <row s="1639" customFormat="1" customHeight="1" ht="18.75" hidden="1">
      <c r="A55" s="1784"/>
      <c r="B55" s="1784"/>
      <c r="C55" s="373" t="s">
        <v>1461</v>
      </c>
      <c r="D55" s="2466"/>
      <c r="E55" s="2208"/>
      <c r="F55" s="2387"/>
      <c r="G55" s="2431"/>
      <c r="H55" s="1504"/>
      <c r="I55" s="655" t="s">
        <v>1462</v>
      </c>
      <c r="J55" s="575"/>
      <c r="K55" s="1504"/>
      <c r="L55" s="218"/>
      <c r="M55" s="2174"/>
      <c r="N55" s="338"/>
      <c r="O55" s="1628"/>
      <c r="P55" s="1628"/>
      <c r="AH55" s="1635">
        <v>0</v>
      </c>
    </row>
    <row s="1639" customFormat="1" customHeight="1" ht="0.75" hidden="1">
      <c r="A56" s="1784"/>
      <c r="B56" s="1784"/>
      <c r="C56" s="373" t="s">
        <v>1467</v>
      </c>
      <c r="D56" s="2466"/>
      <c r="E56" s="2208"/>
      <c r="F56" s="2387"/>
      <c r="G56" s="404"/>
      <c r="H56" s="1504"/>
      <c r="I56" s="655"/>
      <c r="J56" s="575"/>
      <c r="K56" s="1504"/>
      <c r="L56" s="218"/>
      <c r="M56" s="2174"/>
      <c r="N56" s="338"/>
      <c r="O56" s="1628"/>
      <c r="P56" s="1628"/>
      <c r="AH56" s="1635">
        <v>0</v>
      </c>
    </row>
    <row s="1639" customFormat="1" customHeight="1" ht="18.75" hidden="1">
      <c r="A57" s="1784" t="s">
        <v>253</v>
      </c>
      <c r="B57" s="1784" t="s">
        <v>254</v>
      </c>
      <c r="C57" s="373"/>
      <c r="D57" s="2466"/>
      <c r="E57" s="2208"/>
      <c r="F57" s="2387" t="str">
        <f>INDEX(PT_DIFFERENTIATION_VTAR,MATCH(A57,PT_DIFFERENTIATION_VTAR_ID,0))</f>
        <v>Тариф на транспортировку воды</v>
      </c>
      <c r="G57" s="2431" t="str">
        <f>INDEX(PT_DIFFERENTIATION_NTAR,MATCH(B57,PT_DIFFERENTIATION_NTAR_ID,0))</f>
        <v/>
      </c>
      <c r="H57" s="1866"/>
      <c r="I57" s="1743"/>
      <c r="J57" s="1777"/>
      <c r="K57" s="1869"/>
      <c r="L57" s="1866" t="s">
        <v>324</v>
      </c>
      <c r="M57" s="2174"/>
      <c r="N57" s="338"/>
      <c r="O57" s="1628"/>
      <c r="P57" s="1628"/>
      <c r="AH57" s="1635">
        <v>0</v>
      </c>
    </row>
    <row s="1639" customFormat="1" customHeight="1" ht="18.75" hidden="1">
      <c r="A58" s="1784"/>
      <c r="B58" s="1784"/>
      <c r="C58" s="373" t="s">
        <v>1461</v>
      </c>
      <c r="D58" s="2466"/>
      <c r="E58" s="2208"/>
      <c r="F58" s="2387"/>
      <c r="G58" s="2431"/>
      <c r="H58" s="1504"/>
      <c r="I58" s="655" t="s">
        <v>1462</v>
      </c>
      <c r="J58" s="575"/>
      <c r="K58" s="1504"/>
      <c r="L58" s="218"/>
      <c r="M58" s="2174"/>
      <c r="N58" s="338"/>
      <c r="O58" s="1628"/>
      <c r="P58" s="1628"/>
      <c r="AH58" s="1635">
        <v>0</v>
      </c>
    </row>
    <row s="1639" customFormat="1" customHeight="1" ht="0.75" hidden="1">
      <c r="A59" s="1784"/>
      <c r="B59" s="1784"/>
      <c r="C59" s="373" t="s">
        <v>1467</v>
      </c>
      <c r="D59" s="2466"/>
      <c r="E59" s="2208"/>
      <c r="F59" s="2387"/>
      <c r="G59" s="404"/>
      <c r="H59" s="1504"/>
      <c r="I59" s="655"/>
      <c r="J59" s="575"/>
      <c r="K59" s="1504"/>
      <c r="L59" s="218"/>
      <c r="M59" s="2174"/>
      <c r="N59" s="338"/>
      <c r="O59" s="1628"/>
      <c r="P59" s="1628"/>
      <c r="AH59" s="1635">
        <v>0</v>
      </c>
    </row>
    <row s="1639" customFormat="1" customHeight="1" ht="18.75" hidden="1">
      <c r="A60" s="1784" t="s">
        <v>258</v>
      </c>
      <c r="B60" s="1784" t="s">
        <v>259</v>
      </c>
      <c r="C60" s="373"/>
      <c r="D60" s="2466"/>
      <c r="E60" s="2208"/>
      <c r="F60" s="2387" t="str">
        <f>INDEX(PT_DIFFERENTIATION_VTAR,MATCH(A60,PT_DIFFERENTIATION_VTAR_ID,0))</f>
        <v>Тариф на подвоз воды</v>
      </c>
      <c r="G60" s="2431" t="str">
        <f>INDEX(PT_DIFFERENTIATION_NTAR,MATCH(B60,PT_DIFFERENTIATION_NTAR_ID,0))</f>
        <v/>
      </c>
      <c r="H60" s="1866"/>
      <c r="I60" s="1743"/>
      <c r="J60" s="1777"/>
      <c r="K60" s="1869"/>
      <c r="L60" s="1866" t="s">
        <v>324</v>
      </c>
      <c r="M60" s="2174"/>
      <c r="N60" s="338"/>
      <c r="O60" s="1628"/>
      <c r="P60" s="1628"/>
      <c r="AH60" s="1635">
        <v>0</v>
      </c>
    </row>
    <row s="1639" customFormat="1" customHeight="1" ht="18.75" hidden="1">
      <c r="A61" s="1784"/>
      <c r="B61" s="1784"/>
      <c r="C61" s="373" t="s">
        <v>1461</v>
      </c>
      <c r="D61" s="2466"/>
      <c r="E61" s="2208"/>
      <c r="F61" s="2387"/>
      <c r="G61" s="2431"/>
      <c r="H61" s="1504"/>
      <c r="I61" s="655" t="s">
        <v>1462</v>
      </c>
      <c r="J61" s="575"/>
      <c r="K61" s="1504"/>
      <c r="L61" s="218"/>
      <c r="M61" s="2174"/>
      <c r="N61" s="338"/>
      <c r="O61" s="1628"/>
      <c r="P61" s="1628"/>
      <c r="AH61" s="1635">
        <v>0</v>
      </c>
    </row>
    <row s="1639" customFormat="1" customHeight="1" ht="0.75" hidden="1">
      <c r="A62" s="1784"/>
      <c r="B62" s="1784"/>
      <c r="C62" s="373" t="s">
        <v>1467</v>
      </c>
      <c r="D62" s="2466"/>
      <c r="E62" s="2208"/>
      <c r="F62" s="2387"/>
      <c r="G62" s="404"/>
      <c r="H62" s="1504"/>
      <c r="I62" s="655"/>
      <c r="J62" s="575"/>
      <c r="K62" s="1504"/>
      <c r="L62" s="218"/>
      <c r="M62" s="2174"/>
      <c r="N62" s="338"/>
      <c r="O62" s="1628"/>
      <c r="P62" s="1628"/>
      <c r="AH62" s="1635">
        <v>0</v>
      </c>
    </row>
    <row s="1639" customFormat="1" customHeight="1" ht="18.75" hidden="1">
      <c r="A63" s="1784" t="s">
        <v>263</v>
      </c>
      <c r="B63" s="1784" t="s">
        <v>264</v>
      </c>
      <c r="C63" s="373"/>
      <c r="D63" s="2466"/>
      <c r="E63" s="2208"/>
      <c r="F63" s="23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1" t="str">
        <f>INDEX(PT_DIFFERENTIATION_NTAR,MATCH(B63,PT_DIFFERENTIATION_NTAR_ID,0))</f>
        <v/>
      </c>
      <c r="H63" s="1866"/>
      <c r="I63" s="1743"/>
      <c r="J63" s="1777"/>
      <c r="K63" s="1869"/>
      <c r="L63" s="1866" t="s">
        <v>324</v>
      </c>
      <c r="M63" s="2174"/>
      <c r="N63" s="338"/>
      <c r="O63" s="1628"/>
      <c r="P63" s="1628"/>
      <c r="AH63" s="1635">
        <v>0</v>
      </c>
    </row>
    <row s="1639" customFormat="1" customHeight="1" ht="18.75" hidden="1">
      <c r="A64" s="1784"/>
      <c r="B64" s="1784"/>
      <c r="C64" s="373" t="s">
        <v>1461</v>
      </c>
      <c r="D64" s="2466"/>
      <c r="E64" s="2208"/>
      <c r="F64" s="2387"/>
      <c r="G64" s="2431"/>
      <c r="H64" s="1504"/>
      <c r="I64" s="655" t="s">
        <v>1462</v>
      </c>
      <c r="J64" s="575"/>
      <c r="K64" s="1504"/>
      <c r="L64" s="218"/>
      <c r="M64" s="2174"/>
      <c r="N64" s="338"/>
      <c r="O64" s="1628"/>
      <c r="P64" s="1628"/>
      <c r="AH64" s="1635">
        <v>0</v>
      </c>
    </row>
    <row s="1639" customFormat="1" customHeight="1" ht="0.75" hidden="1">
      <c r="A65" s="1784"/>
      <c r="B65" s="1784"/>
      <c r="C65" s="373" t="s">
        <v>1467</v>
      </c>
      <c r="D65" s="2466"/>
      <c r="E65" s="2208"/>
      <c r="F65" s="2387"/>
      <c r="G65" s="404"/>
      <c r="H65" s="1504"/>
      <c r="I65" s="655"/>
      <c r="J65" s="575"/>
      <c r="K65" s="1504"/>
      <c r="L65" s="218"/>
      <c r="M65" s="2174"/>
      <c r="N65" s="338"/>
      <c r="O65" s="1628"/>
      <c r="P65" s="1628"/>
      <c r="AH65" s="1635">
        <v>0</v>
      </c>
    </row>
    <row s="1639" customFormat="1" customHeight="1" ht="18.75" hidden="1">
      <c r="A66" s="1784" t="s">
        <v>268</v>
      </c>
      <c r="B66" s="1784" t="s">
        <v>269</v>
      </c>
      <c r="C66" s="373"/>
      <c r="D66" s="2466"/>
      <c r="E66" s="2208"/>
      <c r="F66" s="2387" t="str">
        <f>INDEX(PT_DIFFERENTIATION_VTAR,MATCH(A66,PT_DIFFERENTIATION_VTAR_ID,0))</f>
        <v>Тариф на горячую воду (горячее водоснабжение)</v>
      </c>
      <c r="G66" s="2431" t="str">
        <f>INDEX(PT_DIFFERENTIATION_NTAR,MATCH(B66,PT_DIFFERENTIATION_NTAR_ID,0))</f>
        <v/>
      </c>
      <c r="H66" s="1866"/>
      <c r="I66" s="1743"/>
      <c r="J66" s="1777"/>
      <c r="K66" s="1869"/>
      <c r="L66" s="1866" t="s">
        <v>324</v>
      </c>
      <c r="M66" s="2174"/>
      <c r="N66" s="338"/>
      <c r="O66" s="1628"/>
      <c r="P66" s="1628"/>
      <c r="AH66" s="1635">
        <v>0</v>
      </c>
    </row>
    <row s="1639" customFormat="1" customHeight="1" ht="18.75" hidden="1">
      <c r="A67" s="1784"/>
      <c r="B67" s="1784"/>
      <c r="C67" s="373" t="s">
        <v>1461</v>
      </c>
      <c r="D67" s="2466"/>
      <c r="E67" s="2208"/>
      <c r="F67" s="2387"/>
      <c r="G67" s="2431"/>
      <c r="H67" s="1504"/>
      <c r="I67" s="655" t="s">
        <v>1462</v>
      </c>
      <c r="J67" s="575"/>
      <c r="K67" s="1504"/>
      <c r="L67" s="218"/>
      <c r="M67" s="2174"/>
      <c r="N67" s="338"/>
      <c r="O67" s="1628"/>
      <c r="P67" s="1628"/>
      <c r="AH67" s="1635">
        <v>0</v>
      </c>
    </row>
    <row s="1639" customFormat="1" customHeight="1" ht="0.75" hidden="1">
      <c r="A68" s="1784"/>
      <c r="B68" s="1784"/>
      <c r="C68" s="373" t="s">
        <v>1467</v>
      </c>
      <c r="D68" s="2466"/>
      <c r="E68" s="2208"/>
      <c r="F68" s="2387"/>
      <c r="G68" s="404"/>
      <c r="H68" s="1504"/>
      <c r="I68" s="655"/>
      <c r="J68" s="575"/>
      <c r="K68" s="1504"/>
      <c r="L68" s="218"/>
      <c r="M68" s="2174"/>
      <c r="N68" s="338"/>
      <c r="O68" s="1628"/>
      <c r="P68" s="1628"/>
      <c r="AH68" s="1635">
        <v>0</v>
      </c>
    </row>
    <row s="1639" customFormat="1" customHeight="1" ht="18.75" hidden="1">
      <c r="A69" s="1784" t="s">
        <v>273</v>
      </c>
      <c r="B69" s="1784" t="s">
        <v>274</v>
      </c>
      <c r="C69" s="373"/>
      <c r="D69" s="2466"/>
      <c r="E69" s="2208"/>
      <c r="F69" s="2387" t="str">
        <f>INDEX(PT_DIFFERENTIATION_VTAR,MATCH(A69,PT_DIFFERENTIATION_VTAR_ID,0))</f>
        <v>Тариф на транспортировку горячей воды</v>
      </c>
      <c r="G69" s="2431" t="str">
        <f>INDEX(PT_DIFFERENTIATION_NTAR,MATCH(B69,PT_DIFFERENTIATION_NTAR_ID,0))</f>
        <v/>
      </c>
      <c r="H69" s="1866"/>
      <c r="I69" s="1743"/>
      <c r="J69" s="1777"/>
      <c r="K69" s="1869"/>
      <c r="L69" s="1866" t="s">
        <v>324</v>
      </c>
      <c r="M69" s="2174"/>
      <c r="N69" s="338"/>
      <c r="O69" s="1628"/>
      <c r="P69" s="1628"/>
      <c r="AH69" s="1635">
        <v>0</v>
      </c>
    </row>
    <row s="1639" customFormat="1" customHeight="1" ht="18.75" hidden="1">
      <c r="A70" s="1784"/>
      <c r="B70" s="1784"/>
      <c r="C70" s="373" t="s">
        <v>1461</v>
      </c>
      <c r="D70" s="2466"/>
      <c r="E70" s="2208"/>
      <c r="F70" s="2387"/>
      <c r="G70" s="2431"/>
      <c r="H70" s="1504"/>
      <c r="I70" s="655" t="s">
        <v>1462</v>
      </c>
      <c r="J70" s="575"/>
      <c r="K70" s="1504"/>
      <c r="L70" s="218"/>
      <c r="M70" s="2174"/>
      <c r="N70" s="338"/>
      <c r="O70" s="1628"/>
      <c r="P70" s="1628"/>
      <c r="AH70" s="1635">
        <v>0</v>
      </c>
    </row>
    <row s="1639" customFormat="1" customHeight="1" ht="0.75" hidden="1">
      <c r="A71" s="1784"/>
      <c r="B71" s="1784"/>
      <c r="C71" s="373" t="s">
        <v>1467</v>
      </c>
      <c r="D71" s="2466"/>
      <c r="E71" s="2208"/>
      <c r="F71" s="2387"/>
      <c r="G71" s="404"/>
      <c r="H71" s="1504"/>
      <c r="I71" s="655"/>
      <c r="J71" s="575"/>
      <c r="K71" s="1504"/>
      <c r="L71" s="218"/>
      <c r="M71" s="2174"/>
      <c r="N71" s="338"/>
      <c r="O71" s="1628"/>
      <c r="P71" s="1628"/>
      <c r="AH71" s="1635">
        <v>0</v>
      </c>
    </row>
    <row s="1639" customFormat="1" customHeight="1" ht="18.75" hidden="1">
      <c r="A72" s="1784" t="s">
        <v>278</v>
      </c>
      <c r="B72" s="1784" t="s">
        <v>279</v>
      </c>
      <c r="C72" s="373"/>
      <c r="D72" s="2466"/>
      <c r="E72" s="2208"/>
      <c r="F72" s="2387" t="str">
        <f>INDEX(PT_DIFFERENTIATION_VTAR,MATCH(A72,PT_DIFFERENTIATION_VTAR_ID,0))</f>
        <v>Тариф на подключение (технологическое присоединение) к централизованной системе горячего водоснабжения</v>
      </c>
      <c r="G72" s="2431" t="str">
        <f>INDEX(PT_DIFFERENTIATION_NTAR,MATCH(B72,PT_DIFFERENTIATION_NTAR_ID,0))</f>
        <v/>
      </c>
      <c r="H72" s="1866"/>
      <c r="I72" s="1743"/>
      <c r="J72" s="1777"/>
      <c r="K72" s="1869"/>
      <c r="L72" s="1866" t="s">
        <v>324</v>
      </c>
      <c r="M72" s="2174"/>
      <c r="N72" s="338"/>
      <c r="O72" s="1628"/>
      <c r="P72" s="1628"/>
      <c r="AH72" s="1635">
        <v>0</v>
      </c>
    </row>
    <row s="1639" customFormat="1" customHeight="1" ht="18.75" hidden="1">
      <c r="A73" s="1784"/>
      <c r="B73" s="1784"/>
      <c r="C73" s="373" t="s">
        <v>1461</v>
      </c>
      <c r="D73" s="2466"/>
      <c r="E73" s="2208"/>
      <c r="F73" s="2387"/>
      <c r="G73" s="2431"/>
      <c r="H73" s="1504"/>
      <c r="I73" s="655" t="s">
        <v>1462</v>
      </c>
      <c r="J73" s="575"/>
      <c r="K73" s="1504"/>
      <c r="L73" s="218"/>
      <c r="M73" s="2174"/>
      <c r="N73" s="338"/>
      <c r="O73" s="1628"/>
      <c r="P73" s="1628"/>
      <c r="AH73" s="1635">
        <v>0</v>
      </c>
    </row>
    <row s="1639" customFormat="1" customHeight="1" ht="0.75" hidden="1">
      <c r="A74" s="1784"/>
      <c r="B74" s="1784"/>
      <c r="C74" s="373" t="s">
        <v>1467</v>
      </c>
      <c r="D74" s="2466"/>
      <c r="E74" s="2208"/>
      <c r="F74" s="2387"/>
      <c r="G74" s="404"/>
      <c r="H74" s="1504"/>
      <c r="I74" s="655"/>
      <c r="J74" s="575"/>
      <c r="K74" s="1504"/>
      <c r="L74" s="218"/>
      <c r="M74" s="2174"/>
      <c r="N74" s="338"/>
      <c r="O74" s="1628"/>
      <c r="P74" s="1628"/>
      <c r="AH74" s="1635">
        <v>0</v>
      </c>
    </row>
    <row s="1639" customFormat="1" customHeight="1" ht="18.75" hidden="1">
      <c r="A75" s="1784" t="s">
        <v>283</v>
      </c>
      <c r="B75" s="1784" t="s">
        <v>284</v>
      </c>
      <c r="C75" s="373"/>
      <c r="D75" s="2466"/>
      <c r="E75" s="2208"/>
      <c r="F75" s="2387" t="str">
        <f>INDEX(PT_DIFFERENTIATION_VTAR,MATCH(A75,PT_DIFFERENTIATION_VTAR_ID,0))</f>
        <v>Тариф на водоотведение</v>
      </c>
      <c r="G75" s="2431" t="str">
        <f>INDEX(PT_DIFFERENTIATION_NTAR,MATCH(B75,PT_DIFFERENTIATION_NTAR_ID,0))</f>
        <v/>
      </c>
      <c r="H75" s="1866"/>
      <c r="I75" s="1743"/>
      <c r="J75" s="1777"/>
      <c r="K75" s="1869"/>
      <c r="L75" s="1866" t="s">
        <v>324</v>
      </c>
      <c r="M75" s="2174"/>
      <c r="N75" s="338"/>
      <c r="O75" s="1628"/>
      <c r="P75" s="1628"/>
      <c r="AH75" s="1635">
        <v>0</v>
      </c>
    </row>
    <row s="1639" customFormat="1" customHeight="1" ht="18.75" hidden="1">
      <c r="A76" s="1784"/>
      <c r="B76" s="1784"/>
      <c r="C76" s="373" t="s">
        <v>1461</v>
      </c>
      <c r="D76" s="2466"/>
      <c r="E76" s="2208"/>
      <c r="F76" s="2387"/>
      <c r="G76" s="2431"/>
      <c r="H76" s="1504"/>
      <c r="I76" s="655" t="s">
        <v>1462</v>
      </c>
      <c r="J76" s="575"/>
      <c r="K76" s="1504"/>
      <c r="L76" s="218"/>
      <c r="M76" s="2174"/>
      <c r="N76" s="338"/>
      <c r="O76" s="1628"/>
      <c r="P76" s="1628"/>
      <c r="AH76" s="1635">
        <v>0</v>
      </c>
    </row>
    <row s="1639" customFormat="1" customHeight="1" ht="0.75" hidden="1">
      <c r="A77" s="1784"/>
      <c r="B77" s="1784"/>
      <c r="C77" s="373" t="s">
        <v>1467</v>
      </c>
      <c r="D77" s="2466"/>
      <c r="E77" s="2208"/>
      <c r="F77" s="2387"/>
      <c r="G77" s="404"/>
      <c r="H77" s="1504"/>
      <c r="I77" s="655"/>
      <c r="J77" s="575"/>
      <c r="K77" s="1504"/>
      <c r="L77" s="218"/>
      <c r="M77" s="2174"/>
      <c r="N77" s="338"/>
      <c r="O77" s="1628"/>
      <c r="P77" s="1628"/>
      <c r="AH77" s="1635">
        <v>0</v>
      </c>
    </row>
    <row s="1639" customFormat="1" customHeight="1" ht="18.75" hidden="1">
      <c r="A78" s="1784" t="s">
        <v>288</v>
      </c>
      <c r="B78" s="1784" t="s">
        <v>289</v>
      </c>
      <c r="C78" s="373"/>
      <c r="D78" s="2466"/>
      <c r="E78" s="2208"/>
      <c r="F78" s="2387" t="str">
        <f>INDEX(PT_DIFFERENTIATION_VTAR,MATCH(A78,PT_DIFFERENTIATION_VTAR_ID,0))</f>
        <v>Тариф на транспортировку сточных вод</v>
      </c>
      <c r="G78" s="2431" t="str">
        <f>INDEX(PT_DIFFERENTIATION_NTAR,MATCH(B78,PT_DIFFERENTIATION_NTAR_ID,0))</f>
        <v/>
      </c>
      <c r="H78" s="1866"/>
      <c r="I78" s="1743"/>
      <c r="J78" s="1777"/>
      <c r="K78" s="1869"/>
      <c r="L78" s="1866" t="s">
        <v>324</v>
      </c>
      <c r="M78" s="2174"/>
      <c r="N78" s="338"/>
      <c r="O78" s="1628"/>
      <c r="P78" s="1628"/>
      <c r="AH78" s="1635">
        <v>0</v>
      </c>
    </row>
    <row s="1639" customFormat="1" customHeight="1" ht="18.75" hidden="1">
      <c r="A79" s="1784"/>
      <c r="B79" s="1784"/>
      <c r="C79" s="373" t="s">
        <v>1461</v>
      </c>
      <c r="D79" s="2466"/>
      <c r="E79" s="2208"/>
      <c r="F79" s="2387"/>
      <c r="G79" s="2431"/>
      <c r="H79" s="1504"/>
      <c r="I79" s="655" t="s">
        <v>1462</v>
      </c>
      <c r="J79" s="575"/>
      <c r="K79" s="1504"/>
      <c r="L79" s="218"/>
      <c r="M79" s="2174"/>
      <c r="N79" s="338"/>
      <c r="O79" s="1628"/>
      <c r="P79" s="1628"/>
      <c r="AH79" s="1635">
        <v>0</v>
      </c>
    </row>
    <row s="1639" customFormat="1" customHeight="1" ht="0.75" hidden="1">
      <c r="A80" s="1784"/>
      <c r="B80" s="1784"/>
      <c r="C80" s="373" t="s">
        <v>1467</v>
      </c>
      <c r="D80" s="2466"/>
      <c r="E80" s="2208"/>
      <c r="F80" s="2387"/>
      <c r="G80" s="404"/>
      <c r="H80" s="1504"/>
      <c r="I80" s="655"/>
      <c r="J80" s="575"/>
      <c r="K80" s="1504"/>
      <c r="L80" s="218"/>
      <c r="M80" s="2174"/>
      <c r="N80" s="338"/>
      <c r="O80" s="1628"/>
      <c r="P80" s="1628"/>
      <c r="AH80" s="1635">
        <v>0</v>
      </c>
    </row>
    <row s="1639" customFormat="1" customHeight="1" ht="18.75" hidden="1">
      <c r="A81" s="1784" t="s">
        <v>293</v>
      </c>
      <c r="B81" s="1784" t="s">
        <v>294</v>
      </c>
      <c r="C81" s="373"/>
      <c r="D81" s="2466"/>
      <c r="E81" s="2208"/>
      <c r="F81" s="2387" t="str">
        <f>INDEX(PT_DIFFERENTIATION_VTAR,MATCH(A81,PT_DIFFERENTIATION_VTAR_ID,0))</f>
        <v>Тариф на подключение (технологическое присоединение) к централизованной системе водоотведения</v>
      </c>
      <c r="G81" s="2431" t="str">
        <f>INDEX(PT_DIFFERENTIATION_NTAR,MATCH(B81,PT_DIFFERENTIATION_NTAR_ID,0))</f>
        <v/>
      </c>
      <c r="H81" s="1866"/>
      <c r="I81" s="1743"/>
      <c r="J81" s="1777"/>
      <c r="K81" s="1869"/>
      <c r="L81" s="1866" t="s">
        <v>324</v>
      </c>
      <c r="M81" s="2174"/>
      <c r="N81" s="338"/>
      <c r="O81" s="1628"/>
      <c r="P81" s="1628"/>
      <c r="AH81" s="1635">
        <v>0</v>
      </c>
    </row>
    <row s="1639" customFormat="1" customHeight="1" ht="18.75" hidden="1">
      <c r="A82" s="1784"/>
      <c r="B82" s="1784"/>
      <c r="C82" s="373" t="s">
        <v>1461</v>
      </c>
      <c r="D82" s="2466"/>
      <c r="E82" s="2208"/>
      <c r="F82" s="2387"/>
      <c r="G82" s="2431"/>
      <c r="H82" s="1504"/>
      <c r="I82" s="655" t="s">
        <v>1462</v>
      </c>
      <c r="J82" s="575"/>
      <c r="K82" s="1504"/>
      <c r="L82" s="218"/>
      <c r="M82" s="2174"/>
      <c r="N82" s="338"/>
      <c r="O82" s="1628"/>
      <c r="P82" s="1628"/>
      <c r="AH82" s="1635">
        <v>0</v>
      </c>
    </row>
    <row s="1639" customFormat="1" customHeight="1" ht="1.05">
      <c r="A83" s="1784"/>
      <c r="B83" s="1784"/>
      <c r="C83" s="373" t="s">
        <v>1467</v>
      </c>
      <c r="D83" s="2466"/>
      <c r="E83" s="2208"/>
      <c r="F83" s="2387"/>
      <c r="G83" s="404"/>
      <c r="H83" s="1504"/>
      <c r="I83" s="655"/>
      <c r="J83" s="575"/>
      <c r="K83" s="1504"/>
      <c r="L83" s="218"/>
      <c r="M83" s="2174"/>
      <c r="N83" s="338"/>
      <c r="O83" s="1628"/>
      <c r="P83" s="1628"/>
      <c r="AH83" s="1635">
        <v>1</v>
      </c>
    </row>
    <row customHeight="1" ht="19.95">
      <c r="A84" s="1784"/>
      <c r="B84" s="1784"/>
      <c r="D84" s="380"/>
      <c r="E84" s="151" t="s">
        <v>103</v>
      </c>
      <c r="F84" s="2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4"/>
      <c r="H84" s="2464"/>
      <c r="I84" s="2464"/>
      <c r="J84" s="2464"/>
      <c r="K84" s="2464"/>
      <c r="L84" s="2464"/>
      <c r="M84" s="301"/>
      <c r="N84" s="338"/>
      <c r="AH84" s="378">
        <v>19</v>
      </c>
    </row>
    <row customHeight="1" ht="35.699999999999996">
      <c r="A85" s="1784"/>
      <c r="B85" s="1784"/>
      <c r="D85" s="380"/>
      <c r="E85" s="403"/>
      <c r="F85" s="202" t="s">
        <v>324</v>
      </c>
      <c r="G85" s="202" t="s">
        <v>324</v>
      </c>
      <c r="H85" s="2222" t="s">
        <v>324</v>
      </c>
      <c r="I85" s="2224"/>
      <c r="J85" s="202" t="s">
        <v>324</v>
      </c>
      <c r="K85" s="202" t="s">
        <v>324</v>
      </c>
      <c r="L85" s="405"/>
      <c r="M85" s="349" t="s">
        <v>1468</v>
      </c>
      <c r="N85" s="338"/>
      <c r="AH85" s="378">
        <v>34</v>
      </c>
    </row>
    <row customHeight="1" ht="19.95">
      <c r="A86" s="1784"/>
      <c r="B86" s="1784"/>
      <c r="D86" s="380"/>
      <c r="E86" s="151" t="s">
        <v>90</v>
      </c>
      <c r="F86" s="2464" t="s">
        <v>1469</v>
      </c>
      <c r="G86" s="2464"/>
      <c r="H86" s="2464"/>
      <c r="I86" s="2464"/>
      <c r="J86" s="2464"/>
      <c r="K86" s="2464"/>
      <c r="L86" s="2464"/>
      <c r="M86" s="301"/>
      <c r="N86" s="338"/>
      <c r="AH86" s="378">
        <v>19</v>
      </c>
    </row>
    <row s="1639" customFormat="1" customHeight="1" ht="60.75" hidden="1">
      <c r="A87" s="1784" t="s">
        <v>175</v>
      </c>
      <c r="B87" s="1784" t="s">
        <v>176</v>
      </c>
      <c r="C87" s="373"/>
      <c r="D87" s="2466"/>
      <c r="E87" s="2208"/>
      <c r="F87" s="238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1" t="str">
        <f>INDEX(PT_DIFFERENTIATION_NTAR,MATCH(B87,PT_DIFFERENTIATION_NTAR_ID,0))</f>
        <v/>
      </c>
      <c r="H87" s="1866"/>
      <c r="I87" s="1743"/>
      <c r="J87" s="1777"/>
      <c r="K87" s="1782"/>
      <c r="L87" s="1866" t="s">
        <v>324</v>
      </c>
      <c r="M87"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8"/>
      <c r="O87" s="1628"/>
      <c r="P87" s="1628"/>
      <c r="AH87" s="1635">
        <v>0</v>
      </c>
    </row>
    <row s="1639" customFormat="1" customHeight="1" ht="18.75" hidden="1">
      <c r="A88" s="1784"/>
      <c r="B88" s="1784"/>
      <c r="C88" s="373" t="s">
        <v>1463</v>
      </c>
      <c r="D88" s="2466"/>
      <c r="E88" s="2208"/>
      <c r="F88" s="2387"/>
      <c r="G88" s="2431"/>
      <c r="H88" s="1504"/>
      <c r="I88" s="655" t="s">
        <v>1462</v>
      </c>
      <c r="J88" s="575"/>
      <c r="K88" s="1504"/>
      <c r="L88" s="218"/>
      <c r="M88" s="2174"/>
      <c r="N88" s="338"/>
      <c r="O88" s="1628"/>
      <c r="P88" s="1628"/>
      <c r="AH88" s="1635">
        <v>0</v>
      </c>
    </row>
    <row s="1639" customFormat="1" customHeight="1" ht="0.75" hidden="1">
      <c r="A89" s="1784"/>
      <c r="B89" s="1784"/>
      <c r="C89" s="373" t="s">
        <v>1470</v>
      </c>
      <c r="D89" s="2466"/>
      <c r="E89" s="2208"/>
      <c r="F89" s="2387"/>
      <c r="G89" s="404"/>
      <c r="H89" s="1504"/>
      <c r="I89" s="655"/>
      <c r="J89" s="575"/>
      <c r="K89" s="1504"/>
      <c r="L89" s="218"/>
      <c r="M89" s="2174"/>
      <c r="N89" s="338"/>
      <c r="O89" s="1628"/>
      <c r="P89" s="1628"/>
      <c r="AH89" s="1635">
        <v>0</v>
      </c>
    </row>
    <row s="1639" customFormat="1" customHeight="1" ht="45" hidden="1">
      <c r="A90" s="1784" t="s">
        <v>180</v>
      </c>
      <c r="B90" s="1784" t="s">
        <v>181</v>
      </c>
      <c r="C90" s="373"/>
      <c r="D90" s="2466"/>
      <c r="E90" s="2208"/>
      <c r="F90" s="2387" t="str">
        <f>INDEX(PT_DIFFERENTIATION_VTAR,MATCH(A90,PT_DIFFERENTIATION_VTAR_ID,0))</f>
        <v/>
      </c>
      <c r="G90" s="2431" t="str">
        <f>INDEX(PT_DIFFERENTIATION_NTAR,MATCH(B90,PT_DIFFERENTIATION_NTAR_ID,0))</f>
        <v/>
      </c>
      <c r="H90" s="1866"/>
      <c r="I90" s="1743"/>
      <c r="J90" s="1777"/>
      <c r="K90" s="1782"/>
      <c r="L90" s="1866" t="s">
        <v>324</v>
      </c>
      <c r="M90" s="2175"/>
      <c r="N90" s="338"/>
      <c r="O90" s="1628"/>
      <c r="P90" s="1628"/>
      <c r="AH90" s="1635">
        <v>0</v>
      </c>
    </row>
    <row s="1639" customFormat="1" customHeight="1" ht="18.75" hidden="1">
      <c r="A91" s="1784"/>
      <c r="B91" s="1784"/>
      <c r="C91" s="373" t="s">
        <v>1463</v>
      </c>
      <c r="D91" s="2466"/>
      <c r="E91" s="2208"/>
      <c r="F91" s="2387"/>
      <c r="G91" s="2431"/>
      <c r="H91" s="1504"/>
      <c r="I91" s="655" t="s">
        <v>1462</v>
      </c>
      <c r="J91" s="575"/>
      <c r="K91" s="1504"/>
      <c r="L91" s="218"/>
      <c r="M91" s="1865"/>
      <c r="N91" s="338"/>
      <c r="O91" s="1628"/>
      <c r="P91" s="1628"/>
      <c r="AH91" s="1635">
        <v>0</v>
      </c>
    </row>
    <row s="1639" customFormat="1" customHeight="1" ht="0.75" hidden="1">
      <c r="A92" s="1784"/>
      <c r="B92" s="1784"/>
      <c r="C92" s="373" t="s">
        <v>1470</v>
      </c>
      <c r="D92" s="2466"/>
      <c r="E92" s="2208"/>
      <c r="F92" s="2387"/>
      <c r="G92" s="404"/>
      <c r="H92" s="1504"/>
      <c r="I92" s="655"/>
      <c r="J92" s="575"/>
      <c r="K92" s="1504"/>
      <c r="L92" s="218"/>
      <c r="M92" s="345"/>
      <c r="N92" s="338"/>
      <c r="O92" s="1628"/>
      <c r="P92" s="1628"/>
      <c r="AH92" s="1635">
        <v>0</v>
      </c>
    </row>
    <row s="1639" customFormat="1" customHeight="1" ht="45" hidden="1">
      <c r="A93" s="1784" t="s">
        <v>187</v>
      </c>
      <c r="B93" s="1784" t="s">
        <v>188</v>
      </c>
      <c r="C93" s="373"/>
      <c r="D93" s="2466"/>
      <c r="E93" s="2208"/>
      <c r="F93" s="238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1" t="str">
        <f>INDEX(PT_DIFFERENTIATION_NTAR,MATCH(B93,PT_DIFFERENTIATION_NTAR_ID,0))</f>
        <v/>
      </c>
      <c r="H93" s="1866"/>
      <c r="I93" s="1743"/>
      <c r="J93" s="1777"/>
      <c r="K93" s="1782"/>
      <c r="L93" s="1866" t="s">
        <v>324</v>
      </c>
      <c r="M93" s="345"/>
      <c r="N93" s="338"/>
      <c r="O93" s="1628"/>
      <c r="P93" s="1628"/>
      <c r="AH93" s="1635">
        <v>0</v>
      </c>
    </row>
    <row s="1639" customFormat="1" customHeight="1" ht="18.75" hidden="1">
      <c r="A94" s="1784"/>
      <c r="B94" s="1784"/>
      <c r="C94" s="373" t="s">
        <v>1463</v>
      </c>
      <c r="D94" s="2466"/>
      <c r="E94" s="2208"/>
      <c r="F94" s="2387"/>
      <c r="G94" s="2431"/>
      <c r="H94" s="1504"/>
      <c r="I94" s="655" t="s">
        <v>1462</v>
      </c>
      <c r="J94" s="575"/>
      <c r="K94" s="1504"/>
      <c r="L94" s="218"/>
      <c r="M94" s="345"/>
      <c r="N94" s="338"/>
      <c r="O94" s="1628"/>
      <c r="P94" s="1628"/>
      <c r="AH94" s="1635">
        <v>0</v>
      </c>
    </row>
    <row s="1639" customFormat="1" customHeight="1" ht="0.75" hidden="1">
      <c r="A95" s="1784"/>
      <c r="B95" s="1784"/>
      <c r="C95" s="373" t="s">
        <v>1470</v>
      </c>
      <c r="D95" s="2466"/>
      <c r="E95" s="2208"/>
      <c r="F95" s="2387"/>
      <c r="G95" s="404"/>
      <c r="H95" s="1504"/>
      <c r="I95" s="655"/>
      <c r="J95" s="575"/>
      <c r="K95" s="1504"/>
      <c r="L95" s="218"/>
      <c r="M95" s="345"/>
      <c r="N95" s="338"/>
      <c r="O95" s="1628"/>
      <c r="P95" s="1628"/>
      <c r="AH95" s="1635">
        <v>0</v>
      </c>
    </row>
    <row s="1639" customFormat="1" customHeight="1" ht="45" hidden="1">
      <c r="A96" s="1784" t="s">
        <v>193</v>
      </c>
      <c r="B96" s="1784" t="s">
        <v>194</v>
      </c>
      <c r="C96" s="373"/>
      <c r="D96" s="2466"/>
      <c r="E96" s="2208"/>
      <c r="F96" s="238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1" t="str">
        <f>INDEX(PT_DIFFERENTIATION_NTAR,MATCH(B96,PT_DIFFERENTIATION_NTAR_ID,0))</f>
        <v/>
      </c>
      <c r="H96" s="1866"/>
      <c r="I96" s="1743"/>
      <c r="J96" s="1777"/>
      <c r="K96" s="1782"/>
      <c r="L96" s="1866" t="s">
        <v>324</v>
      </c>
      <c r="M96" s="345"/>
      <c r="N96" s="338"/>
      <c r="O96" s="1628"/>
      <c r="P96" s="1628"/>
      <c r="AH96" s="1635">
        <v>0</v>
      </c>
    </row>
    <row s="1639" customFormat="1" customHeight="1" ht="18.75" hidden="1">
      <c r="A97" s="1784"/>
      <c r="B97" s="1784"/>
      <c r="C97" s="373" t="s">
        <v>1463</v>
      </c>
      <c r="D97" s="2466"/>
      <c r="E97" s="2208"/>
      <c r="F97" s="2387"/>
      <c r="G97" s="2431"/>
      <c r="H97" s="1504"/>
      <c r="I97" s="655" t="s">
        <v>1462</v>
      </c>
      <c r="J97" s="575"/>
      <c r="K97" s="1504"/>
      <c r="L97" s="218"/>
      <c r="M97" s="345"/>
      <c r="N97" s="338"/>
      <c r="O97" s="1628"/>
      <c r="P97" s="1628"/>
      <c r="AH97" s="1635">
        <v>0</v>
      </c>
    </row>
    <row s="1639" customFormat="1" customHeight="1" ht="0.75" hidden="1">
      <c r="A98" s="1784"/>
      <c r="B98" s="1784"/>
      <c r="C98" s="373" t="s">
        <v>1470</v>
      </c>
      <c r="D98" s="2466"/>
      <c r="E98" s="2208"/>
      <c r="F98" s="2387"/>
      <c r="G98" s="404"/>
      <c r="H98" s="1504"/>
      <c r="I98" s="655"/>
      <c r="J98" s="575"/>
      <c r="K98" s="1504"/>
      <c r="L98" s="218"/>
      <c r="M98" s="345"/>
      <c r="N98" s="338"/>
      <c r="O98" s="1628"/>
      <c r="P98" s="1628"/>
      <c r="AH98" s="1635">
        <v>0</v>
      </c>
    </row>
    <row s="1639" customFormat="1" customHeight="1" ht="18.75" hidden="1">
      <c r="A99" s="1784" t="s">
        <v>199</v>
      </c>
      <c r="B99" s="1784" t="s">
        <v>200</v>
      </c>
      <c r="C99" s="373"/>
      <c r="D99" s="2466"/>
      <c r="E99" s="2208"/>
      <c r="F99" s="2387" t="str">
        <f>INDEX(PT_DIFFERENTIATION_VTAR,MATCH(A99,PT_DIFFERENTIATION_VTAR_ID,0))</f>
        <v>Тарифы на услуги по передаче тепловой энергии</v>
      </c>
      <c r="G99" s="2431" t="str">
        <f>INDEX(PT_DIFFERENTIATION_NTAR,MATCH(B99,PT_DIFFERENTIATION_NTAR_ID,0))</f>
        <v/>
      </c>
      <c r="H99" s="1866"/>
      <c r="I99" s="1743"/>
      <c r="J99" s="1777"/>
      <c r="K99" s="1782"/>
      <c r="L99" s="1866" t="s">
        <v>324</v>
      </c>
      <c r="M99" s="345"/>
      <c r="N99" s="338"/>
      <c r="O99" s="1628"/>
      <c r="P99" s="1628"/>
      <c r="AH99" s="1635">
        <v>0</v>
      </c>
    </row>
    <row s="1639" customFormat="1" customHeight="1" ht="18.75" hidden="1">
      <c r="A100" s="1784"/>
      <c r="B100" s="1784"/>
      <c r="C100" s="373" t="s">
        <v>1463</v>
      </c>
      <c r="D100" s="2466"/>
      <c r="E100" s="2208"/>
      <c r="F100" s="2387"/>
      <c r="G100" s="2431"/>
      <c r="H100" s="1504"/>
      <c r="I100" s="655" t="s">
        <v>1462</v>
      </c>
      <c r="J100" s="575"/>
      <c r="K100" s="1504"/>
      <c r="L100" s="218"/>
      <c r="M100" s="345"/>
      <c r="N100" s="338"/>
      <c r="O100" s="1628"/>
      <c r="P100" s="1628"/>
      <c r="AH100" s="1635">
        <v>0</v>
      </c>
    </row>
    <row s="1639" customFormat="1" customHeight="1" ht="0.75" hidden="1">
      <c r="A101" s="1784"/>
      <c r="B101" s="1784"/>
      <c r="C101" s="373" t="s">
        <v>1470</v>
      </c>
      <c r="D101" s="2466"/>
      <c r="E101" s="2208"/>
      <c r="F101" s="2387"/>
      <c r="G101" s="404"/>
      <c r="H101" s="1504"/>
      <c r="I101" s="655"/>
      <c r="J101" s="575"/>
      <c r="K101" s="1504"/>
      <c r="L101" s="218"/>
      <c r="M101" s="345"/>
      <c r="N101" s="338"/>
      <c r="O101" s="1628"/>
      <c r="P101" s="1628"/>
      <c r="AH101" s="1635">
        <v>0</v>
      </c>
    </row>
    <row s="1639" customFormat="1" customHeight="1" ht="18.75" hidden="1">
      <c r="A102" s="1784" t="s">
        <v>205</v>
      </c>
      <c r="B102" s="1784" t="s">
        <v>206</v>
      </c>
      <c r="C102" s="373"/>
      <c r="D102" s="2466"/>
      <c r="E102" s="2208"/>
      <c r="F102" s="2387" t="str">
        <f>INDEX(PT_DIFFERENTIATION_VTAR,MATCH(A102,PT_DIFFERENTIATION_VTAR_ID,0))</f>
        <v>Тарифы на услуги по передаче теплоносителя</v>
      </c>
      <c r="G102" s="2431" t="str">
        <f>INDEX(PT_DIFFERENTIATION_NTAR,MATCH(B102,PT_DIFFERENTIATION_NTAR_ID,0))</f>
        <v/>
      </c>
      <c r="H102" s="1866"/>
      <c r="I102" s="1743"/>
      <c r="J102" s="1777"/>
      <c r="K102" s="1782"/>
      <c r="L102" s="1866" t="s">
        <v>324</v>
      </c>
      <c r="M102" s="345"/>
      <c r="N102" s="338"/>
      <c r="O102" s="1628"/>
      <c r="P102" s="1628"/>
      <c r="AH102" s="1635">
        <v>0</v>
      </c>
    </row>
    <row s="1639" customFormat="1" customHeight="1" ht="18.75" hidden="1">
      <c r="A103" s="1784"/>
      <c r="B103" s="1784"/>
      <c r="C103" s="373" t="s">
        <v>1463</v>
      </c>
      <c r="D103" s="2466"/>
      <c r="E103" s="2208"/>
      <c r="F103" s="2387"/>
      <c r="G103" s="2431"/>
      <c r="H103" s="1504"/>
      <c r="I103" s="655" t="s">
        <v>1462</v>
      </c>
      <c r="J103" s="575"/>
      <c r="K103" s="1504"/>
      <c r="L103" s="218"/>
      <c r="M103" s="345"/>
      <c r="N103" s="338"/>
      <c r="O103" s="1628"/>
      <c r="P103" s="1628"/>
      <c r="AH103" s="1635">
        <v>0</v>
      </c>
    </row>
    <row s="1639" customFormat="1" customHeight="1" ht="0.75" hidden="1">
      <c r="A104" s="1784"/>
      <c r="B104" s="1784"/>
      <c r="C104" s="373" t="s">
        <v>1470</v>
      </c>
      <c r="D104" s="2466"/>
      <c r="E104" s="2208"/>
      <c r="F104" s="2387"/>
      <c r="G104" s="404"/>
      <c r="H104" s="1504"/>
      <c r="I104" s="655"/>
      <c r="J104" s="575"/>
      <c r="K104" s="1504"/>
      <c r="L104" s="218"/>
      <c r="M104" s="345"/>
      <c r="N104" s="338"/>
      <c r="O104" s="1628"/>
      <c r="P104" s="1628"/>
      <c r="AH104" s="1635">
        <v>0</v>
      </c>
    </row>
    <row s="1639" customFormat="1" customHeight="1" ht="18.75" hidden="1">
      <c r="A105" s="1784" t="s">
        <v>211</v>
      </c>
      <c r="B105" s="1784" t="s">
        <v>212</v>
      </c>
      <c r="C105" s="373"/>
      <c r="D105" s="2466"/>
      <c r="E105" s="2208"/>
      <c r="F105" s="238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1" t="str">
        <f>INDEX(PT_DIFFERENTIATION_NTAR,MATCH(B105,PT_DIFFERENTIATION_NTAR_ID,0))</f>
        <v/>
      </c>
      <c r="H105" s="1866"/>
      <c r="I105" s="1743"/>
      <c r="J105" s="1777"/>
      <c r="K105" s="1782"/>
      <c r="L105" s="1866" t="s">
        <v>324</v>
      </c>
      <c r="M105" s="345"/>
      <c r="N105" s="338"/>
      <c r="O105" s="1628"/>
      <c r="P105" s="1628"/>
      <c r="AH105" s="1635">
        <v>0</v>
      </c>
    </row>
    <row s="1639" customFormat="1" customHeight="1" ht="18.75" hidden="1">
      <c r="A106" s="1784"/>
      <c r="B106" s="1784"/>
      <c r="C106" s="373" t="s">
        <v>1463</v>
      </c>
      <c r="D106" s="2466"/>
      <c r="E106" s="2208"/>
      <c r="F106" s="2387"/>
      <c r="G106" s="2431"/>
      <c r="H106" s="1504"/>
      <c r="I106" s="655" t="s">
        <v>1462</v>
      </c>
      <c r="J106" s="575"/>
      <c r="K106" s="1504"/>
      <c r="L106" s="218"/>
      <c r="M106" s="345"/>
      <c r="N106" s="338"/>
      <c r="O106" s="1628"/>
      <c r="P106" s="1628"/>
      <c r="AH106" s="1635">
        <v>0</v>
      </c>
    </row>
    <row s="1639" customFormat="1" customHeight="1" ht="0.75" hidden="1">
      <c r="A107" s="1784"/>
      <c r="B107" s="1784"/>
      <c r="C107" s="373" t="s">
        <v>1470</v>
      </c>
      <c r="D107" s="2466"/>
      <c r="E107" s="2208"/>
      <c r="F107" s="2387"/>
      <c r="G107" s="404"/>
      <c r="H107" s="1504"/>
      <c r="I107" s="655"/>
      <c r="J107" s="575"/>
      <c r="K107" s="1504"/>
      <c r="L107" s="218"/>
      <c r="M107" s="345"/>
      <c r="N107" s="338"/>
      <c r="O107" s="1628"/>
      <c r="P107" s="1628"/>
      <c r="AH107" s="1635">
        <v>0</v>
      </c>
    </row>
    <row s="1639" customFormat="1" customHeight="1" ht="18.75" hidden="1">
      <c r="A108" s="1784" t="s">
        <v>217</v>
      </c>
      <c r="B108" s="1784" t="s">
        <v>218</v>
      </c>
      <c r="C108" s="373"/>
      <c r="D108" s="2466"/>
      <c r="E108" s="2208"/>
      <c r="F108" s="2387" t="str">
        <f>INDEX(PT_DIFFERENTIATION_VTAR,MATCH(A108,PT_DIFFERENTIATION_VTAR_ID,0))</f>
        <v>Плата за подключение (технологическое присоединение) к системе теплоснабжения</v>
      </c>
      <c r="G108" s="2431" t="str">
        <f>INDEX(PT_DIFFERENTIATION_NTAR,MATCH(B108,PT_DIFFERENTIATION_NTAR_ID,0))</f>
        <v/>
      </c>
      <c r="H108" s="1866"/>
      <c r="I108" s="1743"/>
      <c r="J108" s="1777"/>
      <c r="K108" s="1782"/>
      <c r="L108" s="1866" t="s">
        <v>324</v>
      </c>
      <c r="M108" s="345"/>
      <c r="N108" s="338"/>
      <c r="O108" s="1628"/>
      <c r="P108" s="1628"/>
      <c r="AH108" s="1635">
        <v>0</v>
      </c>
    </row>
    <row s="1639" customFormat="1" customHeight="1" ht="18.75" hidden="1">
      <c r="A109" s="1784"/>
      <c r="B109" s="1784"/>
      <c r="C109" s="373" t="s">
        <v>1463</v>
      </c>
      <c r="D109" s="2466"/>
      <c r="E109" s="2208"/>
      <c r="F109" s="2387"/>
      <c r="G109" s="2431"/>
      <c r="H109" s="1504"/>
      <c r="I109" s="655" t="s">
        <v>1462</v>
      </c>
      <c r="J109" s="575"/>
      <c r="K109" s="1504"/>
      <c r="L109" s="218"/>
      <c r="M109" s="345"/>
      <c r="N109" s="338"/>
      <c r="O109" s="1628"/>
      <c r="P109" s="1628"/>
      <c r="AH109" s="1635">
        <v>0</v>
      </c>
    </row>
    <row s="1639" customFormat="1" customHeight="1" ht="0.75" hidden="1">
      <c r="A110" s="1784"/>
      <c r="B110" s="1784"/>
      <c r="C110" s="373" t="s">
        <v>1470</v>
      </c>
      <c r="D110" s="2466"/>
      <c r="E110" s="2208"/>
      <c r="F110" s="2387"/>
      <c r="G110" s="404"/>
      <c r="H110" s="1504"/>
      <c r="I110" s="655"/>
      <c r="J110" s="575"/>
      <c r="K110" s="1504"/>
      <c r="L110" s="218"/>
      <c r="M110" s="345"/>
      <c r="N110" s="338"/>
      <c r="O110" s="1628"/>
      <c r="P110" s="1628"/>
      <c r="AH110" s="1635">
        <v>0</v>
      </c>
    </row>
    <row s="1639" customFormat="1" customHeight="1" ht="18.75" hidden="1">
      <c r="A111" s="1784" t="s">
        <v>223</v>
      </c>
      <c r="B111" s="1784" t="s">
        <v>224</v>
      </c>
      <c r="C111" s="373"/>
      <c r="D111" s="2466"/>
      <c r="E111" s="2208"/>
      <c r="F111" s="2387" t="str">
        <f>INDEX(PT_DIFFERENTIATION_VTAR,MATCH(A111,PT_DIFFERENTIATION_VTAR_ID,0))</f>
        <v>Плата за подключение (технологическое присоединение) к системе теплоснабжения (индивидуальная)</v>
      </c>
      <c r="G111" s="2431" t="str">
        <f>INDEX(PT_DIFFERENTIATION_NTAR,MATCH(B111,PT_DIFFERENTIATION_NTAR_ID,0))</f>
        <v/>
      </c>
      <c r="H111" s="1993"/>
      <c r="I111" s="1743"/>
      <c r="J111" s="1777"/>
      <c r="K111" s="1782"/>
      <c r="L111" s="1993" t="s">
        <v>324</v>
      </c>
      <c r="M111" s="345"/>
      <c r="N111" s="338"/>
      <c r="O111" s="1628"/>
      <c r="P111" s="1628"/>
      <c r="AH111" s="1635">
        <v>0</v>
      </c>
    </row>
    <row s="1639" customFormat="1" customHeight="1" ht="18.75" hidden="1">
      <c r="A112" s="1784"/>
      <c r="B112" s="1784"/>
      <c r="C112" s="373" t="s">
        <v>1463</v>
      </c>
      <c r="D112" s="2466"/>
      <c r="E112" s="2208"/>
      <c r="F112" s="2387"/>
      <c r="G112" s="2431"/>
      <c r="H112" s="1504"/>
      <c r="I112" s="655" t="s">
        <v>1462</v>
      </c>
      <c r="J112" s="575"/>
      <c r="K112" s="1504"/>
      <c r="L112" s="218"/>
      <c r="M112" s="345"/>
      <c r="N112" s="338"/>
      <c r="O112" s="1628"/>
      <c r="P112" s="1628"/>
      <c r="AH112" s="1635">
        <v>0</v>
      </c>
    </row>
    <row s="1639" customFormat="1" customHeight="1" ht="0.75" hidden="1">
      <c r="A113" s="1784"/>
      <c r="B113" s="1784"/>
      <c r="C113" s="373" t="s">
        <v>1470</v>
      </c>
      <c r="D113" s="2466"/>
      <c r="E113" s="2208"/>
      <c r="F113" s="2387"/>
      <c r="G113" s="404"/>
      <c r="H113" s="1504"/>
      <c r="I113" s="655"/>
      <c r="J113" s="575"/>
      <c r="K113" s="1504"/>
      <c r="L113" s="218"/>
      <c r="M113" s="345"/>
      <c r="N113" s="338"/>
      <c r="O113" s="1628"/>
      <c r="P113" s="1628"/>
      <c r="AH113" s="1635">
        <v>0</v>
      </c>
    </row>
    <row s="1639" customFormat="1" customHeight="1" ht="18.75" hidden="1">
      <c r="A114" s="1784" t="s">
        <v>243</v>
      </c>
      <c r="B114" s="1784" t="s">
        <v>244</v>
      </c>
      <c r="C114" s="373"/>
      <c r="D114" s="2466"/>
      <c r="E114" s="2208"/>
      <c r="F114" s="2387" t="str">
        <f>INDEX(PT_DIFFERENTIATION_VTAR,MATCH(A114,PT_DIFFERENTIATION_VTAR_ID,0))</f>
        <v>Тариф на питьевую воду (питьевое водоснабжение)</v>
      </c>
      <c r="G114" s="2431" t="str">
        <f>INDEX(PT_DIFFERENTIATION_NTAR,MATCH(B114,PT_DIFFERENTIATION_NTAR_ID,0))</f>
        <v/>
      </c>
      <c r="H114" s="1866"/>
      <c r="I114" s="1743"/>
      <c r="J114" s="1777"/>
      <c r="K114" s="1782"/>
      <c r="L114" s="1866" t="s">
        <v>324</v>
      </c>
      <c r="M114" s="345"/>
      <c r="N114" s="338"/>
      <c r="O114" s="1628"/>
      <c r="P114" s="1628"/>
      <c r="AH114" s="1635">
        <v>0</v>
      </c>
    </row>
    <row s="1639" customFormat="1" customHeight="1" ht="18.75" hidden="1">
      <c r="A115" s="1784"/>
      <c r="B115" s="1784"/>
      <c r="C115" s="373" t="s">
        <v>1463</v>
      </c>
      <c r="D115" s="2466"/>
      <c r="E115" s="2208"/>
      <c r="F115" s="2387"/>
      <c r="G115" s="2431"/>
      <c r="H115" s="1504"/>
      <c r="I115" s="655" t="s">
        <v>1462</v>
      </c>
      <c r="J115" s="575"/>
      <c r="K115" s="1504"/>
      <c r="L115" s="218"/>
      <c r="M115" s="345"/>
      <c r="N115" s="338"/>
      <c r="O115" s="1628"/>
      <c r="P115" s="1628"/>
      <c r="AH115" s="1635">
        <v>0</v>
      </c>
    </row>
    <row s="1639" customFormat="1" customHeight="1" ht="0.75" hidden="1">
      <c r="A116" s="1784"/>
      <c r="B116" s="1784"/>
      <c r="C116" s="373" t="s">
        <v>1470</v>
      </c>
      <c r="D116" s="2466"/>
      <c r="E116" s="2208"/>
      <c r="F116" s="2387"/>
      <c r="G116" s="404"/>
      <c r="H116" s="1504"/>
      <c r="I116" s="655"/>
      <c r="J116" s="575"/>
      <c r="K116" s="1504"/>
      <c r="L116" s="218"/>
      <c r="M116" s="345"/>
      <c r="N116" s="338"/>
      <c r="O116" s="1628"/>
      <c r="P116" s="1628"/>
      <c r="AH116" s="1635">
        <v>0</v>
      </c>
    </row>
    <row s="1639" customFormat="1" customHeight="1" ht="18.75" hidden="1">
      <c r="A117" s="1784" t="s">
        <v>248</v>
      </c>
      <c r="B117" s="1784" t="s">
        <v>249</v>
      </c>
      <c r="C117" s="373"/>
      <c r="D117" s="2466"/>
      <c r="E117" s="2208"/>
      <c r="F117" s="2387" t="str">
        <f>INDEX(PT_DIFFERENTIATION_VTAR,MATCH(A117,PT_DIFFERENTIATION_VTAR_ID,0))</f>
        <v>Тариф на техническую воду</v>
      </c>
      <c r="G117" s="2431" t="str">
        <f>INDEX(PT_DIFFERENTIATION_NTAR,MATCH(B117,PT_DIFFERENTIATION_NTAR_ID,0))</f>
        <v/>
      </c>
      <c r="H117" s="1866"/>
      <c r="I117" s="1743"/>
      <c r="J117" s="1777"/>
      <c r="K117" s="1782"/>
      <c r="L117" s="1866" t="s">
        <v>324</v>
      </c>
      <c r="M117" s="345"/>
      <c r="N117" s="338"/>
      <c r="O117" s="1628"/>
      <c r="P117" s="1628"/>
      <c r="AH117" s="1635">
        <v>0</v>
      </c>
    </row>
    <row s="1639" customFormat="1" customHeight="1" ht="18.75" hidden="1">
      <c r="A118" s="1784"/>
      <c r="B118" s="1784"/>
      <c r="C118" s="373" t="s">
        <v>1463</v>
      </c>
      <c r="D118" s="2466"/>
      <c r="E118" s="2208"/>
      <c r="F118" s="2387"/>
      <c r="G118" s="2431"/>
      <c r="H118" s="1504"/>
      <c r="I118" s="655" t="s">
        <v>1462</v>
      </c>
      <c r="J118" s="575"/>
      <c r="K118" s="1504"/>
      <c r="L118" s="218"/>
      <c r="M118" s="345"/>
      <c r="N118" s="338"/>
      <c r="O118" s="1628"/>
      <c r="P118" s="1628"/>
      <c r="AH118" s="1635">
        <v>0</v>
      </c>
    </row>
    <row s="1639" customFormat="1" customHeight="1" ht="0.75" hidden="1">
      <c r="A119" s="1784"/>
      <c r="B119" s="1784"/>
      <c r="C119" s="373" t="s">
        <v>1470</v>
      </c>
      <c r="D119" s="2466"/>
      <c r="E119" s="2208"/>
      <c r="F119" s="2387"/>
      <c r="G119" s="404"/>
      <c r="H119" s="1504"/>
      <c r="I119" s="655"/>
      <c r="J119" s="575"/>
      <c r="K119" s="1504"/>
      <c r="L119" s="218"/>
      <c r="M119" s="345"/>
      <c r="N119" s="338"/>
      <c r="O119" s="1628"/>
      <c r="P119" s="1628"/>
      <c r="AH119" s="1635">
        <v>0</v>
      </c>
    </row>
    <row s="1639" customFormat="1" customHeight="1" ht="18.75" hidden="1">
      <c r="A120" s="1784" t="s">
        <v>253</v>
      </c>
      <c r="B120" s="1784" t="s">
        <v>254</v>
      </c>
      <c r="C120" s="373"/>
      <c r="D120" s="2466"/>
      <c r="E120" s="2208"/>
      <c r="F120" s="2387" t="str">
        <f>INDEX(PT_DIFFERENTIATION_VTAR,MATCH(A120,PT_DIFFERENTIATION_VTAR_ID,0))</f>
        <v>Тариф на транспортировку воды</v>
      </c>
      <c r="G120" s="2431" t="str">
        <f>INDEX(PT_DIFFERENTIATION_NTAR,MATCH(B120,PT_DIFFERENTIATION_NTAR_ID,0))</f>
        <v/>
      </c>
      <c r="H120" s="1866"/>
      <c r="I120" s="1743"/>
      <c r="J120" s="1777"/>
      <c r="K120" s="1782"/>
      <c r="L120" s="1866" t="s">
        <v>324</v>
      </c>
      <c r="M120" s="345"/>
      <c r="N120" s="338"/>
      <c r="O120" s="1628"/>
      <c r="P120" s="1628"/>
      <c r="AH120" s="1635">
        <v>0</v>
      </c>
    </row>
    <row s="1639" customFormat="1" customHeight="1" ht="18.75" hidden="1">
      <c r="A121" s="1784"/>
      <c r="B121" s="1784"/>
      <c r="C121" s="373" t="s">
        <v>1463</v>
      </c>
      <c r="D121" s="2466"/>
      <c r="E121" s="2208"/>
      <c r="F121" s="2387"/>
      <c r="G121" s="2431"/>
      <c r="H121" s="1504"/>
      <c r="I121" s="655" t="s">
        <v>1462</v>
      </c>
      <c r="J121" s="575"/>
      <c r="K121" s="1504"/>
      <c r="L121" s="218"/>
      <c r="M121" s="345"/>
      <c r="N121" s="338"/>
      <c r="O121" s="1628"/>
      <c r="P121" s="1628"/>
      <c r="AH121" s="1635">
        <v>0</v>
      </c>
    </row>
    <row s="1639" customFormat="1" customHeight="1" ht="0.75" hidden="1">
      <c r="A122" s="1784"/>
      <c r="B122" s="1784"/>
      <c r="C122" s="373" t="s">
        <v>1470</v>
      </c>
      <c r="D122" s="2466"/>
      <c r="E122" s="2208"/>
      <c r="F122" s="2387"/>
      <c r="G122" s="404"/>
      <c r="H122" s="1504"/>
      <c r="I122" s="655"/>
      <c r="J122" s="575"/>
      <c r="K122" s="1504"/>
      <c r="L122" s="218"/>
      <c r="M122" s="345"/>
      <c r="N122" s="338"/>
      <c r="O122" s="1628"/>
      <c r="P122" s="1628"/>
      <c r="AH122" s="1635">
        <v>0</v>
      </c>
    </row>
    <row s="1639" customFormat="1" customHeight="1" ht="18.75" hidden="1">
      <c r="A123" s="1784" t="s">
        <v>258</v>
      </c>
      <c r="B123" s="1784" t="s">
        <v>259</v>
      </c>
      <c r="C123" s="373"/>
      <c r="D123" s="2466"/>
      <c r="E123" s="2208"/>
      <c r="F123" s="2387" t="str">
        <f>INDEX(PT_DIFFERENTIATION_VTAR,MATCH(A123,PT_DIFFERENTIATION_VTAR_ID,0))</f>
        <v>Тариф на подвоз воды</v>
      </c>
      <c r="G123" s="2431" t="str">
        <f>INDEX(PT_DIFFERENTIATION_NTAR,MATCH(B123,PT_DIFFERENTIATION_NTAR_ID,0))</f>
        <v/>
      </c>
      <c r="H123" s="1866"/>
      <c r="I123" s="1743"/>
      <c r="J123" s="1777"/>
      <c r="K123" s="1782"/>
      <c r="L123" s="1866" t="s">
        <v>324</v>
      </c>
      <c r="M123" s="345"/>
      <c r="N123" s="338"/>
      <c r="O123" s="1628"/>
      <c r="P123" s="1628"/>
      <c r="AH123" s="1635">
        <v>0</v>
      </c>
    </row>
    <row s="1639" customFormat="1" customHeight="1" ht="18.75" hidden="1">
      <c r="A124" s="1784"/>
      <c r="B124" s="1784"/>
      <c r="C124" s="373" t="s">
        <v>1463</v>
      </c>
      <c r="D124" s="2466"/>
      <c r="E124" s="2208"/>
      <c r="F124" s="2387"/>
      <c r="G124" s="2431"/>
      <c r="H124" s="1504"/>
      <c r="I124" s="655" t="s">
        <v>1462</v>
      </c>
      <c r="J124" s="575"/>
      <c r="K124" s="1504"/>
      <c r="L124" s="218"/>
      <c r="M124" s="345"/>
      <c r="N124" s="338"/>
      <c r="O124" s="1628"/>
      <c r="P124" s="1628"/>
      <c r="AH124" s="1635">
        <v>0</v>
      </c>
    </row>
    <row s="1639" customFormat="1" customHeight="1" ht="0.75" hidden="1">
      <c r="A125" s="1784"/>
      <c r="B125" s="1784"/>
      <c r="C125" s="373" t="s">
        <v>1470</v>
      </c>
      <c r="D125" s="2466"/>
      <c r="E125" s="2208"/>
      <c r="F125" s="2387"/>
      <c r="G125" s="404"/>
      <c r="H125" s="1504"/>
      <c r="I125" s="655"/>
      <c r="J125" s="575"/>
      <c r="K125" s="1504"/>
      <c r="L125" s="218"/>
      <c r="M125" s="345"/>
      <c r="N125" s="338"/>
      <c r="O125" s="1628"/>
      <c r="P125" s="1628"/>
      <c r="AH125" s="1635">
        <v>0</v>
      </c>
    </row>
    <row s="1639" customFormat="1" customHeight="1" ht="18.75" hidden="1">
      <c r="A126" s="1784" t="s">
        <v>263</v>
      </c>
      <c r="B126" s="1784" t="s">
        <v>264</v>
      </c>
      <c r="C126" s="373"/>
      <c r="D126" s="2466"/>
      <c r="E126" s="2208"/>
      <c r="F126" s="238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1" t="str">
        <f>INDEX(PT_DIFFERENTIATION_NTAR,MATCH(B126,PT_DIFFERENTIATION_NTAR_ID,0))</f>
        <v/>
      </c>
      <c r="H126" s="1866"/>
      <c r="I126" s="1743"/>
      <c r="J126" s="1777"/>
      <c r="K126" s="1782"/>
      <c r="L126" s="1866" t="s">
        <v>324</v>
      </c>
      <c r="M126" s="345"/>
      <c r="N126" s="338"/>
      <c r="O126" s="1628"/>
      <c r="P126" s="1628"/>
      <c r="AH126" s="1635">
        <v>0</v>
      </c>
    </row>
    <row s="1639" customFormat="1" customHeight="1" ht="18.75" hidden="1">
      <c r="A127" s="1784"/>
      <c r="B127" s="1784"/>
      <c r="C127" s="373" t="s">
        <v>1463</v>
      </c>
      <c r="D127" s="2466"/>
      <c r="E127" s="2208"/>
      <c r="F127" s="2387"/>
      <c r="G127" s="2431"/>
      <c r="H127" s="1504"/>
      <c r="I127" s="655" t="s">
        <v>1462</v>
      </c>
      <c r="J127" s="575"/>
      <c r="K127" s="1504"/>
      <c r="L127" s="218"/>
      <c r="M127" s="345"/>
      <c r="N127" s="338"/>
      <c r="O127" s="1628"/>
      <c r="P127" s="1628"/>
      <c r="AH127" s="1635">
        <v>0</v>
      </c>
    </row>
    <row s="1639" customFormat="1" customHeight="1" ht="0.75" hidden="1">
      <c r="A128" s="1784"/>
      <c r="B128" s="1784"/>
      <c r="C128" s="373" t="s">
        <v>1470</v>
      </c>
      <c r="D128" s="2466"/>
      <c r="E128" s="2208"/>
      <c r="F128" s="2387"/>
      <c r="G128" s="404"/>
      <c r="H128" s="1504"/>
      <c r="I128" s="655"/>
      <c r="J128" s="575"/>
      <c r="K128" s="1504"/>
      <c r="L128" s="218"/>
      <c r="M128" s="345"/>
      <c r="N128" s="338"/>
      <c r="O128" s="1628"/>
      <c r="P128" s="1628"/>
      <c r="AH128" s="1635">
        <v>0</v>
      </c>
    </row>
    <row s="1639" customFormat="1" customHeight="1" ht="18.75" hidden="1">
      <c r="A129" s="1784" t="s">
        <v>268</v>
      </c>
      <c r="B129" s="1784" t="s">
        <v>269</v>
      </c>
      <c r="C129" s="373"/>
      <c r="D129" s="2466"/>
      <c r="E129" s="2208"/>
      <c r="F129" s="2387" t="str">
        <f>INDEX(PT_DIFFERENTIATION_VTAR,MATCH(A129,PT_DIFFERENTIATION_VTAR_ID,0))</f>
        <v>Тариф на горячую воду (горячее водоснабжение)</v>
      </c>
      <c r="G129" s="2431" t="str">
        <f>INDEX(PT_DIFFERENTIATION_NTAR,MATCH(B129,PT_DIFFERENTIATION_NTAR_ID,0))</f>
        <v/>
      </c>
      <c r="H129" s="1866"/>
      <c r="I129" s="1743"/>
      <c r="J129" s="1777"/>
      <c r="K129" s="1782"/>
      <c r="L129" s="1866" t="s">
        <v>324</v>
      </c>
      <c r="M129" s="345"/>
      <c r="N129" s="338"/>
      <c r="O129" s="1628"/>
      <c r="P129" s="1628"/>
      <c r="AH129" s="1635">
        <v>0</v>
      </c>
    </row>
    <row s="1639" customFormat="1" customHeight="1" ht="18.75" hidden="1">
      <c r="A130" s="1784"/>
      <c r="B130" s="1784"/>
      <c r="C130" s="373" t="s">
        <v>1463</v>
      </c>
      <c r="D130" s="2466"/>
      <c r="E130" s="2208"/>
      <c r="F130" s="2387"/>
      <c r="G130" s="2431"/>
      <c r="H130" s="1504"/>
      <c r="I130" s="655" t="s">
        <v>1462</v>
      </c>
      <c r="J130" s="575"/>
      <c r="K130" s="1504"/>
      <c r="L130" s="218"/>
      <c r="M130" s="345"/>
      <c r="N130" s="338"/>
      <c r="O130" s="1628"/>
      <c r="P130" s="1628"/>
      <c r="AH130" s="1635">
        <v>0</v>
      </c>
    </row>
    <row s="1639" customFormat="1" customHeight="1" ht="0.75" hidden="1">
      <c r="A131" s="1784"/>
      <c r="B131" s="1784"/>
      <c r="C131" s="373" t="s">
        <v>1470</v>
      </c>
      <c r="D131" s="2466"/>
      <c r="E131" s="2208"/>
      <c r="F131" s="2387"/>
      <c r="G131" s="404"/>
      <c r="H131" s="1504"/>
      <c r="I131" s="655"/>
      <c r="J131" s="575"/>
      <c r="K131" s="1504"/>
      <c r="L131" s="218"/>
      <c r="M131" s="345"/>
      <c r="N131" s="338"/>
      <c r="O131" s="1628"/>
      <c r="P131" s="1628"/>
      <c r="AH131" s="1635">
        <v>0</v>
      </c>
    </row>
    <row s="1639" customFormat="1" customHeight="1" ht="18.75" hidden="1">
      <c r="A132" s="1784" t="s">
        <v>273</v>
      </c>
      <c r="B132" s="1784" t="s">
        <v>274</v>
      </c>
      <c r="C132" s="373"/>
      <c r="D132" s="2466"/>
      <c r="E132" s="2208"/>
      <c r="F132" s="2387" t="str">
        <f>INDEX(PT_DIFFERENTIATION_VTAR,MATCH(A132,PT_DIFFERENTIATION_VTAR_ID,0))</f>
        <v>Тариф на транспортировку горячей воды</v>
      </c>
      <c r="G132" s="2431" t="str">
        <f>INDEX(PT_DIFFERENTIATION_NTAR,MATCH(B132,PT_DIFFERENTIATION_NTAR_ID,0))</f>
        <v/>
      </c>
      <c r="H132" s="1866"/>
      <c r="I132" s="1743"/>
      <c r="J132" s="1777"/>
      <c r="K132" s="1782"/>
      <c r="L132" s="1866" t="s">
        <v>324</v>
      </c>
      <c r="M132" s="345"/>
      <c r="N132" s="338"/>
      <c r="O132" s="1628"/>
      <c r="P132" s="1628"/>
      <c r="AH132" s="1635">
        <v>0</v>
      </c>
    </row>
    <row s="1639" customFormat="1" customHeight="1" ht="18.75" hidden="1">
      <c r="A133" s="1784"/>
      <c r="B133" s="1784"/>
      <c r="C133" s="373" t="s">
        <v>1463</v>
      </c>
      <c r="D133" s="2466"/>
      <c r="E133" s="2208"/>
      <c r="F133" s="2387"/>
      <c r="G133" s="2431"/>
      <c r="H133" s="1504"/>
      <c r="I133" s="655" t="s">
        <v>1462</v>
      </c>
      <c r="J133" s="575"/>
      <c r="K133" s="1504"/>
      <c r="L133" s="218"/>
      <c r="M133" s="345"/>
      <c r="N133" s="338"/>
      <c r="O133" s="1628"/>
      <c r="P133" s="1628"/>
      <c r="AH133" s="1635">
        <v>0</v>
      </c>
    </row>
    <row s="1639" customFormat="1" customHeight="1" ht="0.75" hidden="1">
      <c r="A134" s="1784"/>
      <c r="B134" s="1784"/>
      <c r="C134" s="373" t="s">
        <v>1470</v>
      </c>
      <c r="D134" s="2466"/>
      <c r="E134" s="2208"/>
      <c r="F134" s="2387"/>
      <c r="G134" s="404"/>
      <c r="H134" s="1504"/>
      <c r="I134" s="655"/>
      <c r="J134" s="575"/>
      <c r="K134" s="1504"/>
      <c r="L134" s="218"/>
      <c r="M134" s="345"/>
      <c r="N134" s="338"/>
      <c r="O134" s="1628"/>
      <c r="P134" s="1628"/>
      <c r="AH134" s="1635">
        <v>0</v>
      </c>
    </row>
    <row s="1639" customFormat="1" customHeight="1" ht="18.75" hidden="1">
      <c r="A135" s="1784" t="s">
        <v>278</v>
      </c>
      <c r="B135" s="1784" t="s">
        <v>279</v>
      </c>
      <c r="C135" s="373"/>
      <c r="D135" s="2466"/>
      <c r="E135" s="2208"/>
      <c r="F135" s="238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1" t="str">
        <f>INDEX(PT_DIFFERENTIATION_NTAR,MATCH(B135,PT_DIFFERENTIATION_NTAR_ID,0))</f>
        <v/>
      </c>
      <c r="H135" s="1866"/>
      <c r="I135" s="1743"/>
      <c r="J135" s="1777"/>
      <c r="K135" s="1782"/>
      <c r="L135" s="1866" t="s">
        <v>324</v>
      </c>
      <c r="M135" s="345"/>
      <c r="N135" s="338"/>
      <c r="O135" s="1628"/>
      <c r="P135" s="1628"/>
      <c r="AH135" s="1635">
        <v>0</v>
      </c>
    </row>
    <row s="1639" customFormat="1" customHeight="1" ht="18.75" hidden="1">
      <c r="A136" s="1784"/>
      <c r="B136" s="1784"/>
      <c r="C136" s="373" t="s">
        <v>1463</v>
      </c>
      <c r="D136" s="2466"/>
      <c r="E136" s="2208"/>
      <c r="F136" s="2387"/>
      <c r="G136" s="2431"/>
      <c r="H136" s="1504"/>
      <c r="I136" s="655" t="s">
        <v>1462</v>
      </c>
      <c r="J136" s="575"/>
      <c r="K136" s="1504"/>
      <c r="L136" s="218"/>
      <c r="M136" s="345"/>
      <c r="N136" s="338"/>
      <c r="O136" s="1628"/>
      <c r="P136" s="1628"/>
      <c r="AH136" s="1635">
        <v>0</v>
      </c>
    </row>
    <row s="1639" customFormat="1" customHeight="1" ht="0.75" hidden="1">
      <c r="A137" s="1784"/>
      <c r="B137" s="1784"/>
      <c r="C137" s="373" t="s">
        <v>1470</v>
      </c>
      <c r="D137" s="2466"/>
      <c r="E137" s="2208"/>
      <c r="F137" s="2387"/>
      <c r="G137" s="404"/>
      <c r="H137" s="1504"/>
      <c r="I137" s="655"/>
      <c r="J137" s="575"/>
      <c r="K137" s="1504"/>
      <c r="L137" s="218"/>
      <c r="M137" s="345"/>
      <c r="N137" s="338"/>
      <c r="O137" s="1628"/>
      <c r="P137" s="1628"/>
      <c r="AH137" s="1635">
        <v>0</v>
      </c>
    </row>
    <row s="1639" customFormat="1" customHeight="1" ht="18.75" hidden="1">
      <c r="A138" s="1784" t="s">
        <v>283</v>
      </c>
      <c r="B138" s="1784" t="s">
        <v>284</v>
      </c>
      <c r="C138" s="373"/>
      <c r="D138" s="2466"/>
      <c r="E138" s="2208"/>
      <c r="F138" s="2387" t="str">
        <f>INDEX(PT_DIFFERENTIATION_VTAR,MATCH(A138,PT_DIFFERENTIATION_VTAR_ID,0))</f>
        <v>Тариф на водоотведение</v>
      </c>
      <c r="G138" s="2431" t="str">
        <f>INDEX(PT_DIFFERENTIATION_NTAR,MATCH(B138,PT_DIFFERENTIATION_NTAR_ID,0))</f>
        <v/>
      </c>
      <c r="H138" s="1866"/>
      <c r="I138" s="1743"/>
      <c r="J138" s="1777"/>
      <c r="K138" s="1782"/>
      <c r="L138" s="1866" t="s">
        <v>324</v>
      </c>
      <c r="M138" s="345"/>
      <c r="N138" s="338"/>
      <c r="O138" s="1628"/>
      <c r="P138" s="1628"/>
      <c r="AH138" s="1635">
        <v>0</v>
      </c>
    </row>
    <row s="1639" customFormat="1" customHeight="1" ht="18.75" hidden="1">
      <c r="A139" s="1784"/>
      <c r="B139" s="1784"/>
      <c r="C139" s="373" t="s">
        <v>1463</v>
      </c>
      <c r="D139" s="2466"/>
      <c r="E139" s="2208"/>
      <c r="F139" s="2387"/>
      <c r="G139" s="2431"/>
      <c r="H139" s="1504"/>
      <c r="I139" s="655" t="s">
        <v>1462</v>
      </c>
      <c r="J139" s="575"/>
      <c r="K139" s="1504"/>
      <c r="L139" s="218"/>
      <c r="M139" s="345"/>
      <c r="N139" s="338"/>
      <c r="O139" s="1628"/>
      <c r="P139" s="1628"/>
      <c r="AH139" s="1635">
        <v>0</v>
      </c>
    </row>
    <row s="1639" customFormat="1" customHeight="1" ht="0.75" hidden="1">
      <c r="A140" s="1784"/>
      <c r="B140" s="1784"/>
      <c r="C140" s="373" t="s">
        <v>1470</v>
      </c>
      <c r="D140" s="2466"/>
      <c r="E140" s="2208"/>
      <c r="F140" s="2387"/>
      <c r="G140" s="404"/>
      <c r="H140" s="1504"/>
      <c r="I140" s="655"/>
      <c r="J140" s="575"/>
      <c r="K140" s="1504"/>
      <c r="L140" s="218"/>
      <c r="M140" s="345"/>
      <c r="N140" s="338"/>
      <c r="O140" s="1628"/>
      <c r="P140" s="1628"/>
      <c r="AH140" s="1635">
        <v>0</v>
      </c>
    </row>
    <row s="1639" customFormat="1" customHeight="1" ht="18.75" hidden="1">
      <c r="A141" s="1784" t="s">
        <v>288</v>
      </c>
      <c r="B141" s="1784" t="s">
        <v>289</v>
      </c>
      <c r="C141" s="373"/>
      <c r="D141" s="2466"/>
      <c r="E141" s="2208"/>
      <c r="F141" s="2387" t="str">
        <f>INDEX(PT_DIFFERENTIATION_VTAR,MATCH(A141,PT_DIFFERENTIATION_VTAR_ID,0))</f>
        <v>Тариф на транспортировку сточных вод</v>
      </c>
      <c r="G141" s="2431" t="str">
        <f>INDEX(PT_DIFFERENTIATION_NTAR,MATCH(B141,PT_DIFFERENTIATION_NTAR_ID,0))</f>
        <v/>
      </c>
      <c r="H141" s="1866"/>
      <c r="I141" s="1743"/>
      <c r="J141" s="1777"/>
      <c r="K141" s="1782"/>
      <c r="L141" s="1866" t="s">
        <v>324</v>
      </c>
      <c r="M141" s="345"/>
      <c r="N141" s="338"/>
      <c r="O141" s="1628"/>
      <c r="P141" s="1628"/>
      <c r="AH141" s="1635">
        <v>0</v>
      </c>
    </row>
    <row s="1639" customFormat="1" customHeight="1" ht="18.75" hidden="1">
      <c r="A142" s="1784"/>
      <c r="B142" s="1784"/>
      <c r="C142" s="373" t="s">
        <v>1463</v>
      </c>
      <c r="D142" s="2466"/>
      <c r="E142" s="2208"/>
      <c r="F142" s="2387"/>
      <c r="G142" s="2431"/>
      <c r="H142" s="1504"/>
      <c r="I142" s="655" t="s">
        <v>1462</v>
      </c>
      <c r="J142" s="575"/>
      <c r="K142" s="1504"/>
      <c r="L142" s="218"/>
      <c r="M142" s="345"/>
      <c r="N142" s="338"/>
      <c r="O142" s="1628"/>
      <c r="P142" s="1628"/>
      <c r="AH142" s="1635">
        <v>0</v>
      </c>
    </row>
    <row s="1639" customFormat="1" customHeight="1" ht="0.75" hidden="1">
      <c r="A143" s="1784"/>
      <c r="B143" s="1784"/>
      <c r="C143" s="373" t="s">
        <v>1470</v>
      </c>
      <c r="D143" s="2466"/>
      <c r="E143" s="2208"/>
      <c r="F143" s="2387"/>
      <c r="G143" s="404"/>
      <c r="H143" s="1504"/>
      <c r="I143" s="655"/>
      <c r="J143" s="575"/>
      <c r="K143" s="1504"/>
      <c r="L143" s="218"/>
      <c r="M143" s="345"/>
      <c r="N143" s="338"/>
      <c r="O143" s="1628"/>
      <c r="P143" s="1628"/>
      <c r="AH143" s="1635">
        <v>0</v>
      </c>
    </row>
    <row s="1639" customFormat="1" customHeight="1" ht="18.75" hidden="1">
      <c r="A144" s="1784" t="s">
        <v>293</v>
      </c>
      <c r="B144" s="1784" t="s">
        <v>294</v>
      </c>
      <c r="C144" s="373"/>
      <c r="D144" s="2466"/>
      <c r="E144" s="2208"/>
      <c r="F144" s="2387" t="str">
        <f>INDEX(PT_DIFFERENTIATION_VTAR,MATCH(A144,PT_DIFFERENTIATION_VTAR_ID,0))</f>
        <v>Тариф на подключение (технологическое присоединение) к централизованной системе водоотведения</v>
      </c>
      <c r="G144" s="2431" t="str">
        <f>INDEX(PT_DIFFERENTIATION_NTAR,MATCH(B144,PT_DIFFERENTIATION_NTAR_ID,0))</f>
        <v/>
      </c>
      <c r="H144" s="1866"/>
      <c r="I144" s="1743"/>
      <c r="J144" s="1777"/>
      <c r="K144" s="1782"/>
      <c r="L144" s="1866" t="s">
        <v>324</v>
      </c>
      <c r="M144" s="345"/>
      <c r="N144" s="338"/>
      <c r="O144" s="1628"/>
      <c r="P144" s="1628"/>
      <c r="AH144" s="1635">
        <v>0</v>
      </c>
    </row>
    <row s="1639" customFormat="1" customHeight="1" ht="18.75" hidden="1">
      <c r="A145" s="1784"/>
      <c r="B145" s="1784"/>
      <c r="C145" s="373" t="s">
        <v>1463</v>
      </c>
      <c r="D145" s="2466"/>
      <c r="E145" s="2208"/>
      <c r="F145" s="2387"/>
      <c r="G145" s="2431"/>
      <c r="H145" s="1504"/>
      <c r="I145" s="655" t="s">
        <v>1462</v>
      </c>
      <c r="J145" s="575"/>
      <c r="K145" s="1504"/>
      <c r="L145" s="218"/>
      <c r="M145" s="345"/>
      <c r="N145" s="338"/>
      <c r="O145" s="1628"/>
      <c r="P145" s="1628"/>
      <c r="AH145" s="1635">
        <v>0</v>
      </c>
    </row>
    <row s="1639" customFormat="1" customHeight="1" ht="1.05">
      <c r="A146" s="1784"/>
      <c r="B146" s="1784"/>
      <c r="C146" s="373" t="s">
        <v>1470</v>
      </c>
      <c r="D146" s="2466"/>
      <c r="E146" s="2208"/>
      <c r="F146" s="2387"/>
      <c r="G146" s="404"/>
      <c r="H146" s="1504"/>
      <c r="I146" s="655"/>
      <c r="J146" s="575"/>
      <c r="K146" s="1504"/>
      <c r="L146" s="218"/>
      <c r="M146" s="345"/>
      <c r="N146" s="338"/>
      <c r="O146" s="1628"/>
      <c r="P146" s="1628"/>
      <c r="AH146" s="1635">
        <v>1</v>
      </c>
    </row>
    <row customHeight="1" ht="19.95">
      <c r="A147" s="1784"/>
      <c r="B147" s="1784"/>
      <c r="D147" s="380"/>
      <c r="E147" s="151" t="s">
        <v>91</v>
      </c>
      <c r="F147" s="2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4"/>
      <c r="H147" s="2464"/>
      <c r="I147" s="2464"/>
      <c r="J147" s="2464"/>
      <c r="K147" s="2464"/>
      <c r="L147" s="2464"/>
      <c r="M147" s="301"/>
      <c r="N147" s="338"/>
      <c r="AH147" s="378">
        <v>19</v>
      </c>
    </row>
    <row s="1639" customFormat="1" customHeight="1" ht="60.75" hidden="1">
      <c r="A148" s="1784" t="s">
        <v>175</v>
      </c>
      <c r="B148" s="1784" t="s">
        <v>176</v>
      </c>
      <c r="C148" s="373"/>
      <c r="D148" s="2466"/>
      <c r="E148" s="2208"/>
      <c r="F148" s="238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1" t="str">
        <f>INDEX(PT_DIFFERENTIATION_NTAR,MATCH(B148,PT_DIFFERENTIATION_NTAR_ID,0))</f>
        <v/>
      </c>
      <c r="H148" s="1866"/>
      <c r="I148" s="1743"/>
      <c r="J148" s="1777"/>
      <c r="K148" s="1782"/>
      <c r="L148" s="1866" t="s">
        <v>324</v>
      </c>
      <c r="M148"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8"/>
      <c r="O148" s="1628"/>
      <c r="P148" s="1628"/>
      <c r="AH148" s="1635">
        <v>0</v>
      </c>
    </row>
    <row s="1639" customFormat="1" customHeight="1" ht="18.75" hidden="1">
      <c r="A149" s="1784"/>
      <c r="B149" s="1784"/>
      <c r="C149" s="373" t="s">
        <v>1463</v>
      </c>
      <c r="D149" s="2466"/>
      <c r="E149" s="2208"/>
      <c r="F149" s="2387"/>
      <c r="G149" s="2431"/>
      <c r="H149" s="1504"/>
      <c r="I149" s="655" t="s">
        <v>1462</v>
      </c>
      <c r="J149" s="575"/>
      <c r="K149" s="1504"/>
      <c r="L149" s="218"/>
      <c r="M149" s="2174"/>
      <c r="N149" s="338"/>
      <c r="O149" s="1628"/>
      <c r="P149" s="1628"/>
      <c r="AH149" s="1635">
        <v>0</v>
      </c>
    </row>
    <row s="1639" customFormat="1" customHeight="1" ht="0.75" hidden="1">
      <c r="A150" s="1784"/>
      <c r="B150" s="1784"/>
      <c r="C150" s="373" t="s">
        <v>1470</v>
      </c>
      <c r="D150" s="2466"/>
      <c r="E150" s="2208"/>
      <c r="F150" s="2387"/>
      <c r="G150" s="404"/>
      <c r="H150" s="1504"/>
      <c r="I150" s="655"/>
      <c r="J150" s="575"/>
      <c r="K150" s="1504"/>
      <c r="L150" s="218"/>
      <c r="M150" s="2174"/>
      <c r="N150" s="338"/>
      <c r="O150" s="1628"/>
      <c r="P150" s="1628"/>
      <c r="AH150" s="1635">
        <v>0</v>
      </c>
    </row>
    <row s="1639" customFormat="1" customHeight="1" ht="45" hidden="1">
      <c r="A151" s="1784" t="s">
        <v>180</v>
      </c>
      <c r="B151" s="1784" t="s">
        <v>181</v>
      </c>
      <c r="C151" s="373"/>
      <c r="D151" s="2466"/>
      <c r="E151" s="2208"/>
      <c r="F151" s="2387" t="str">
        <f>INDEX(PT_DIFFERENTIATION_VTAR,MATCH(A151,PT_DIFFERENTIATION_VTAR_ID,0))</f>
        <v/>
      </c>
      <c r="G151" s="2431" t="str">
        <f>INDEX(PT_DIFFERENTIATION_NTAR,MATCH(B151,PT_DIFFERENTIATION_NTAR_ID,0))</f>
        <v/>
      </c>
      <c r="H151" s="1866"/>
      <c r="I151" s="1743"/>
      <c r="J151" s="1777"/>
      <c r="K151" s="1782"/>
      <c r="L151" s="1866" t="s">
        <v>324</v>
      </c>
      <c r="M151" s="2175"/>
      <c r="N151" s="338"/>
      <c r="O151" s="1628"/>
      <c r="P151" s="1628"/>
      <c r="AH151" s="1635">
        <v>0</v>
      </c>
    </row>
    <row s="1639" customFormat="1" customHeight="1" ht="18.75" hidden="1">
      <c r="A152" s="1784"/>
      <c r="B152" s="1784"/>
      <c r="C152" s="373" t="s">
        <v>1463</v>
      </c>
      <c r="D152" s="2466"/>
      <c r="E152" s="2208"/>
      <c r="F152" s="2387"/>
      <c r="G152" s="2431"/>
      <c r="H152" s="1504"/>
      <c r="I152" s="655" t="s">
        <v>1462</v>
      </c>
      <c r="J152" s="575"/>
      <c r="K152" s="1504"/>
      <c r="L152" s="218"/>
      <c r="M152" s="1865"/>
      <c r="N152" s="338"/>
      <c r="O152" s="1628"/>
      <c r="P152" s="1628"/>
      <c r="AH152" s="1635">
        <v>0</v>
      </c>
    </row>
    <row s="1639" customFormat="1" customHeight="1" ht="0.75" hidden="1">
      <c r="A153" s="1784"/>
      <c r="B153" s="1784"/>
      <c r="C153" s="373" t="s">
        <v>1470</v>
      </c>
      <c r="D153" s="2466"/>
      <c r="E153" s="2208"/>
      <c r="F153" s="2387"/>
      <c r="G153" s="404"/>
      <c r="H153" s="1504"/>
      <c r="I153" s="655"/>
      <c r="J153" s="575"/>
      <c r="K153" s="1504"/>
      <c r="L153" s="218"/>
      <c r="M153" s="345"/>
      <c r="N153" s="338"/>
      <c r="O153" s="1628"/>
      <c r="P153" s="1628"/>
      <c r="AH153" s="1635">
        <v>0</v>
      </c>
    </row>
    <row s="1639" customFormat="1" customHeight="1" ht="45" hidden="1">
      <c r="A154" s="1784" t="s">
        <v>187</v>
      </c>
      <c r="B154" s="1784" t="s">
        <v>188</v>
      </c>
      <c r="C154" s="373"/>
      <c r="D154" s="2466"/>
      <c r="E154" s="2208"/>
      <c r="F154" s="238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1" t="str">
        <f>INDEX(PT_DIFFERENTIATION_NTAR,MATCH(B154,PT_DIFFERENTIATION_NTAR_ID,0))</f>
        <v/>
      </c>
      <c r="H154" s="1866"/>
      <c r="I154" s="1743"/>
      <c r="J154" s="1777"/>
      <c r="K154" s="1782"/>
      <c r="L154" s="1866" t="s">
        <v>324</v>
      </c>
      <c r="M154" s="345"/>
      <c r="N154" s="338"/>
      <c r="O154" s="1628"/>
      <c r="P154" s="1628"/>
      <c r="AH154" s="1635">
        <v>0</v>
      </c>
    </row>
    <row s="1639" customFormat="1" customHeight="1" ht="18.75" hidden="1">
      <c r="A155" s="1784"/>
      <c r="B155" s="1784"/>
      <c r="C155" s="373" t="s">
        <v>1463</v>
      </c>
      <c r="D155" s="2466"/>
      <c r="E155" s="2208"/>
      <c r="F155" s="2387"/>
      <c r="G155" s="2431"/>
      <c r="H155" s="1504"/>
      <c r="I155" s="655" t="s">
        <v>1462</v>
      </c>
      <c r="J155" s="575"/>
      <c r="K155" s="1504"/>
      <c r="L155" s="218"/>
      <c r="M155" s="345"/>
      <c r="N155" s="338"/>
      <c r="O155" s="1628"/>
      <c r="P155" s="1628"/>
      <c r="AH155" s="1635">
        <v>0</v>
      </c>
    </row>
    <row s="1639" customFormat="1" customHeight="1" ht="0.75" hidden="1">
      <c r="A156" s="1784"/>
      <c r="B156" s="1784"/>
      <c r="C156" s="373" t="s">
        <v>1470</v>
      </c>
      <c r="D156" s="2466"/>
      <c r="E156" s="2208"/>
      <c r="F156" s="2387"/>
      <c r="G156" s="404"/>
      <c r="H156" s="1504"/>
      <c r="I156" s="655"/>
      <c r="J156" s="575"/>
      <c r="K156" s="1504"/>
      <c r="L156" s="218"/>
      <c r="M156" s="345"/>
      <c r="N156" s="338"/>
      <c r="O156" s="1628"/>
      <c r="P156" s="1628"/>
      <c r="AH156" s="1635">
        <v>0</v>
      </c>
    </row>
    <row s="1639" customFormat="1" customHeight="1" ht="45" hidden="1">
      <c r="A157" s="1784" t="s">
        <v>193</v>
      </c>
      <c r="B157" s="1784" t="s">
        <v>194</v>
      </c>
      <c r="C157" s="373"/>
      <c r="D157" s="2466"/>
      <c r="E157" s="2208"/>
      <c r="F157" s="238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1" t="str">
        <f>INDEX(PT_DIFFERENTIATION_NTAR,MATCH(B157,PT_DIFFERENTIATION_NTAR_ID,0))</f>
        <v/>
      </c>
      <c r="H157" s="1866"/>
      <c r="I157" s="1743"/>
      <c r="J157" s="1777"/>
      <c r="K157" s="1782"/>
      <c r="L157" s="1866" t="s">
        <v>324</v>
      </c>
      <c r="M157" s="345"/>
      <c r="N157" s="338"/>
      <c r="O157" s="1628"/>
      <c r="P157" s="1628"/>
      <c r="AH157" s="1635">
        <v>0</v>
      </c>
    </row>
    <row s="1639" customFormat="1" customHeight="1" ht="18.75" hidden="1">
      <c r="A158" s="1784"/>
      <c r="B158" s="1784"/>
      <c r="C158" s="373" t="s">
        <v>1463</v>
      </c>
      <c r="D158" s="2466"/>
      <c r="E158" s="2208"/>
      <c r="F158" s="2387"/>
      <c r="G158" s="2431"/>
      <c r="H158" s="1504"/>
      <c r="I158" s="655" t="s">
        <v>1462</v>
      </c>
      <c r="J158" s="575"/>
      <c r="K158" s="1504"/>
      <c r="L158" s="218"/>
      <c r="M158" s="345"/>
      <c r="N158" s="338"/>
      <c r="O158" s="1628"/>
      <c r="P158" s="1628"/>
      <c r="AH158" s="1635">
        <v>0</v>
      </c>
    </row>
    <row s="1639" customFormat="1" customHeight="1" ht="0.75" hidden="1">
      <c r="A159" s="1784"/>
      <c r="B159" s="1784"/>
      <c r="C159" s="373" t="s">
        <v>1470</v>
      </c>
      <c r="D159" s="2466"/>
      <c r="E159" s="2208"/>
      <c r="F159" s="2387"/>
      <c r="G159" s="404"/>
      <c r="H159" s="1504"/>
      <c r="I159" s="655"/>
      <c r="J159" s="575"/>
      <c r="K159" s="1504"/>
      <c r="L159" s="218"/>
      <c r="M159" s="345"/>
      <c r="N159" s="338"/>
      <c r="O159" s="1628"/>
      <c r="P159" s="1628"/>
      <c r="AH159" s="1635">
        <v>0</v>
      </c>
    </row>
    <row s="1639" customFormat="1" customHeight="1" ht="18.75" hidden="1">
      <c r="A160" s="1784" t="s">
        <v>199</v>
      </c>
      <c r="B160" s="1784" t="s">
        <v>200</v>
      </c>
      <c r="C160" s="373"/>
      <c r="D160" s="2466"/>
      <c r="E160" s="2208"/>
      <c r="F160" s="2387" t="str">
        <f>INDEX(PT_DIFFERENTIATION_VTAR,MATCH(A160,PT_DIFFERENTIATION_VTAR_ID,0))</f>
        <v>Тарифы на услуги по передаче тепловой энергии</v>
      </c>
      <c r="G160" s="2431" t="str">
        <f>INDEX(PT_DIFFERENTIATION_NTAR,MATCH(B160,PT_DIFFERENTIATION_NTAR_ID,0))</f>
        <v/>
      </c>
      <c r="H160" s="1866"/>
      <c r="I160" s="1743"/>
      <c r="J160" s="1777"/>
      <c r="K160" s="1782"/>
      <c r="L160" s="1866" t="s">
        <v>324</v>
      </c>
      <c r="M160" s="345"/>
      <c r="N160" s="338"/>
      <c r="O160" s="1628"/>
      <c r="P160" s="1628"/>
      <c r="AH160" s="1635">
        <v>0</v>
      </c>
    </row>
    <row s="1639" customFormat="1" customHeight="1" ht="18.75" hidden="1">
      <c r="A161" s="1784"/>
      <c r="B161" s="1784"/>
      <c r="C161" s="373" t="s">
        <v>1463</v>
      </c>
      <c r="D161" s="2466"/>
      <c r="E161" s="2208"/>
      <c r="F161" s="2387"/>
      <c r="G161" s="2431"/>
      <c r="H161" s="1504"/>
      <c r="I161" s="655" t="s">
        <v>1462</v>
      </c>
      <c r="J161" s="575"/>
      <c r="K161" s="1504"/>
      <c r="L161" s="218"/>
      <c r="M161" s="345"/>
      <c r="N161" s="338"/>
      <c r="O161" s="1628"/>
      <c r="P161" s="1628"/>
      <c r="AH161" s="1635">
        <v>0</v>
      </c>
    </row>
    <row s="1639" customFormat="1" customHeight="1" ht="0.75" hidden="1">
      <c r="A162" s="1784"/>
      <c r="B162" s="1784"/>
      <c r="C162" s="373" t="s">
        <v>1470</v>
      </c>
      <c r="D162" s="2466"/>
      <c r="E162" s="2208"/>
      <c r="F162" s="2387"/>
      <c r="G162" s="404"/>
      <c r="H162" s="1504"/>
      <c r="I162" s="655"/>
      <c r="J162" s="575"/>
      <c r="K162" s="1504"/>
      <c r="L162" s="218"/>
      <c r="M162" s="345"/>
      <c r="N162" s="338"/>
      <c r="O162" s="1628"/>
      <c r="P162" s="1628"/>
      <c r="AH162" s="1635">
        <v>0</v>
      </c>
    </row>
    <row s="1639" customFormat="1" customHeight="1" ht="18.75" hidden="1">
      <c r="A163" s="1784" t="s">
        <v>205</v>
      </c>
      <c r="B163" s="1784" t="s">
        <v>206</v>
      </c>
      <c r="C163" s="373"/>
      <c r="D163" s="2466"/>
      <c r="E163" s="2208"/>
      <c r="F163" s="2387" t="str">
        <f>INDEX(PT_DIFFERENTIATION_VTAR,MATCH(A163,PT_DIFFERENTIATION_VTAR_ID,0))</f>
        <v>Тарифы на услуги по передаче теплоносителя</v>
      </c>
      <c r="G163" s="2431" t="str">
        <f>INDEX(PT_DIFFERENTIATION_NTAR,MATCH(B163,PT_DIFFERENTIATION_NTAR_ID,0))</f>
        <v/>
      </c>
      <c r="H163" s="1866"/>
      <c r="I163" s="1743"/>
      <c r="J163" s="1777"/>
      <c r="K163" s="1782"/>
      <c r="L163" s="1866" t="s">
        <v>324</v>
      </c>
      <c r="M163" s="345"/>
      <c r="N163" s="338"/>
      <c r="O163" s="1628"/>
      <c r="P163" s="1628"/>
      <c r="AH163" s="1635">
        <v>0</v>
      </c>
    </row>
    <row s="1639" customFormat="1" customHeight="1" ht="18.75" hidden="1">
      <c r="A164" s="1784"/>
      <c r="B164" s="1784"/>
      <c r="C164" s="373" t="s">
        <v>1463</v>
      </c>
      <c r="D164" s="2466"/>
      <c r="E164" s="2208"/>
      <c r="F164" s="2387"/>
      <c r="G164" s="2431"/>
      <c r="H164" s="1504"/>
      <c r="I164" s="655" t="s">
        <v>1462</v>
      </c>
      <c r="J164" s="575"/>
      <c r="K164" s="1504"/>
      <c r="L164" s="218"/>
      <c r="M164" s="345"/>
      <c r="N164" s="338"/>
      <c r="O164" s="1628"/>
      <c r="P164" s="1628"/>
      <c r="AH164" s="1635">
        <v>0</v>
      </c>
    </row>
    <row s="1639" customFormat="1" customHeight="1" ht="0.75" hidden="1">
      <c r="A165" s="1784"/>
      <c r="B165" s="1784"/>
      <c r="C165" s="373" t="s">
        <v>1470</v>
      </c>
      <c r="D165" s="2466"/>
      <c r="E165" s="2208"/>
      <c r="F165" s="2387"/>
      <c r="G165" s="404"/>
      <c r="H165" s="1504"/>
      <c r="I165" s="655"/>
      <c r="J165" s="575"/>
      <c r="K165" s="1504"/>
      <c r="L165" s="218"/>
      <c r="M165" s="345"/>
      <c r="N165" s="338"/>
      <c r="O165" s="1628"/>
      <c r="P165" s="1628"/>
      <c r="AH165" s="1635">
        <v>0</v>
      </c>
    </row>
    <row s="1639" customFormat="1" customHeight="1" ht="18.75" hidden="1">
      <c r="A166" s="1784" t="s">
        <v>211</v>
      </c>
      <c r="B166" s="1784" t="s">
        <v>212</v>
      </c>
      <c r="C166" s="373"/>
      <c r="D166" s="2466"/>
      <c r="E166" s="2208"/>
      <c r="F166" s="238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1" t="str">
        <f>INDEX(PT_DIFFERENTIATION_NTAR,MATCH(B166,PT_DIFFERENTIATION_NTAR_ID,0))</f>
        <v/>
      </c>
      <c r="H166" s="1866"/>
      <c r="I166" s="1743"/>
      <c r="J166" s="1777"/>
      <c r="K166" s="1782"/>
      <c r="L166" s="1866" t="s">
        <v>324</v>
      </c>
      <c r="M166" s="345"/>
      <c r="N166" s="338"/>
      <c r="O166" s="1628"/>
      <c r="P166" s="1628"/>
      <c r="AH166" s="1635">
        <v>0</v>
      </c>
    </row>
    <row s="1639" customFormat="1" customHeight="1" ht="18.75" hidden="1">
      <c r="A167" s="1784"/>
      <c r="B167" s="1784"/>
      <c r="C167" s="373" t="s">
        <v>1463</v>
      </c>
      <c r="D167" s="2466"/>
      <c r="E167" s="2208"/>
      <c r="F167" s="2387"/>
      <c r="G167" s="2431"/>
      <c r="H167" s="1504"/>
      <c r="I167" s="655" t="s">
        <v>1462</v>
      </c>
      <c r="J167" s="575"/>
      <c r="K167" s="1504"/>
      <c r="L167" s="218"/>
      <c r="M167" s="345"/>
      <c r="N167" s="338"/>
      <c r="O167" s="1628"/>
      <c r="P167" s="1628"/>
      <c r="AH167" s="1635">
        <v>0</v>
      </c>
    </row>
    <row s="1639" customFormat="1" customHeight="1" ht="0.75" hidden="1">
      <c r="A168" s="1784"/>
      <c r="B168" s="1784"/>
      <c r="C168" s="373" t="s">
        <v>1470</v>
      </c>
      <c r="D168" s="2466"/>
      <c r="E168" s="2208"/>
      <c r="F168" s="2387"/>
      <c r="G168" s="404"/>
      <c r="H168" s="1504"/>
      <c r="I168" s="655"/>
      <c r="J168" s="575"/>
      <c r="K168" s="1504"/>
      <c r="L168" s="218"/>
      <c r="M168" s="345"/>
      <c r="N168" s="338"/>
      <c r="O168" s="1628"/>
      <c r="P168" s="1628"/>
      <c r="AH168" s="1635">
        <v>0</v>
      </c>
    </row>
    <row s="1639" customFormat="1" customHeight="1" ht="18.75" hidden="1">
      <c r="A169" s="1784" t="s">
        <v>217</v>
      </c>
      <c r="B169" s="1784" t="s">
        <v>218</v>
      </c>
      <c r="C169" s="373"/>
      <c r="D169" s="2466"/>
      <c r="E169" s="2208"/>
      <c r="F169" s="2387" t="str">
        <f>INDEX(PT_DIFFERENTIATION_VTAR,MATCH(A169,PT_DIFFERENTIATION_VTAR_ID,0))</f>
        <v>Плата за подключение (технологическое присоединение) к системе теплоснабжения</v>
      </c>
      <c r="G169" s="2431" t="str">
        <f>INDEX(PT_DIFFERENTIATION_NTAR,MATCH(B169,PT_DIFFERENTIATION_NTAR_ID,0))</f>
        <v/>
      </c>
      <c r="H169" s="1866"/>
      <c r="I169" s="1743"/>
      <c r="J169" s="1777"/>
      <c r="K169" s="1782"/>
      <c r="L169" s="1866" t="s">
        <v>324</v>
      </c>
      <c r="M169" s="345"/>
      <c r="N169" s="338"/>
      <c r="O169" s="1628"/>
      <c r="P169" s="1628"/>
      <c r="AH169" s="1635">
        <v>0</v>
      </c>
    </row>
    <row s="1639" customFormat="1" customHeight="1" ht="18.75" hidden="1">
      <c r="A170" s="1784"/>
      <c r="B170" s="1784"/>
      <c r="C170" s="373" t="s">
        <v>1463</v>
      </c>
      <c r="D170" s="2466"/>
      <c r="E170" s="2208"/>
      <c r="F170" s="2387"/>
      <c r="G170" s="2431"/>
      <c r="H170" s="1504"/>
      <c r="I170" s="655" t="s">
        <v>1462</v>
      </c>
      <c r="J170" s="575"/>
      <c r="K170" s="1504"/>
      <c r="L170" s="218"/>
      <c r="M170" s="345"/>
      <c r="N170" s="338"/>
      <c r="O170" s="1628"/>
      <c r="P170" s="1628"/>
      <c r="AH170" s="1635">
        <v>0</v>
      </c>
    </row>
    <row s="1639" customFormat="1" customHeight="1" ht="0.75" hidden="1">
      <c r="A171" s="1784"/>
      <c r="B171" s="1784"/>
      <c r="C171" s="373" t="s">
        <v>1470</v>
      </c>
      <c r="D171" s="2466"/>
      <c r="E171" s="2208"/>
      <c r="F171" s="2387"/>
      <c r="G171" s="404"/>
      <c r="H171" s="1504"/>
      <c r="I171" s="655"/>
      <c r="J171" s="575"/>
      <c r="K171" s="1504"/>
      <c r="L171" s="218"/>
      <c r="M171" s="345"/>
      <c r="N171" s="338"/>
      <c r="O171" s="1628"/>
      <c r="P171" s="1628"/>
      <c r="AH171" s="1635">
        <v>0</v>
      </c>
    </row>
    <row s="1639" customFormat="1" customHeight="1" ht="18.75" hidden="1">
      <c r="A172" s="1784" t="s">
        <v>223</v>
      </c>
      <c r="B172" s="1784" t="s">
        <v>224</v>
      </c>
      <c r="C172" s="373"/>
      <c r="D172" s="2466"/>
      <c r="E172" s="2208"/>
      <c r="F172" s="2387" t="str">
        <f>INDEX(PT_DIFFERENTIATION_VTAR,MATCH(A172,PT_DIFFERENTIATION_VTAR_ID,0))</f>
        <v>Плата за подключение (технологическое присоединение) к системе теплоснабжения (индивидуальная)</v>
      </c>
      <c r="G172" s="2431" t="str">
        <f>INDEX(PT_DIFFERENTIATION_NTAR,MATCH(B172,PT_DIFFERENTIATION_NTAR_ID,0))</f>
        <v/>
      </c>
      <c r="H172" s="1993"/>
      <c r="I172" s="1743"/>
      <c r="J172" s="1777"/>
      <c r="K172" s="1782"/>
      <c r="L172" s="1993" t="s">
        <v>324</v>
      </c>
      <c r="M172" s="345"/>
      <c r="N172" s="338"/>
      <c r="O172" s="1628"/>
      <c r="P172" s="1628"/>
      <c r="AH172" s="1635">
        <v>0</v>
      </c>
    </row>
    <row s="1639" customFormat="1" customHeight="1" ht="18.75" hidden="1">
      <c r="A173" s="1784"/>
      <c r="B173" s="1784"/>
      <c r="C173" s="373" t="s">
        <v>1463</v>
      </c>
      <c r="D173" s="2466"/>
      <c r="E173" s="2208"/>
      <c r="F173" s="2387"/>
      <c r="G173" s="2431"/>
      <c r="H173" s="1504"/>
      <c r="I173" s="655" t="s">
        <v>1462</v>
      </c>
      <c r="J173" s="575"/>
      <c r="K173" s="1504"/>
      <c r="L173" s="218"/>
      <c r="M173" s="345"/>
      <c r="N173" s="338"/>
      <c r="O173" s="1628"/>
      <c r="P173" s="1628"/>
      <c r="AH173" s="1635">
        <v>0</v>
      </c>
    </row>
    <row s="1639" customFormat="1" customHeight="1" ht="0.75" hidden="1">
      <c r="A174" s="1784"/>
      <c r="B174" s="1784"/>
      <c r="C174" s="373" t="s">
        <v>1470</v>
      </c>
      <c r="D174" s="2466"/>
      <c r="E174" s="2208"/>
      <c r="F174" s="2387"/>
      <c r="G174" s="404"/>
      <c r="H174" s="1504"/>
      <c r="I174" s="655"/>
      <c r="J174" s="575"/>
      <c r="K174" s="1504"/>
      <c r="L174" s="218"/>
      <c r="M174" s="345"/>
      <c r="N174" s="338"/>
      <c r="O174" s="1628"/>
      <c r="P174" s="1628"/>
      <c r="AH174" s="1635">
        <v>0</v>
      </c>
    </row>
    <row s="1639" customFormat="1" customHeight="1" ht="18.75" hidden="1">
      <c r="A175" s="1784" t="s">
        <v>243</v>
      </c>
      <c r="B175" s="1784" t="s">
        <v>244</v>
      </c>
      <c r="C175" s="373"/>
      <c r="D175" s="2466"/>
      <c r="E175" s="2208"/>
      <c r="F175" s="2387" t="str">
        <f>INDEX(PT_DIFFERENTIATION_VTAR,MATCH(A175,PT_DIFFERENTIATION_VTAR_ID,0))</f>
        <v>Тариф на питьевую воду (питьевое водоснабжение)</v>
      </c>
      <c r="G175" s="2431" t="str">
        <f>INDEX(PT_DIFFERENTIATION_NTAR,MATCH(B175,PT_DIFFERENTIATION_NTAR_ID,0))</f>
        <v/>
      </c>
      <c r="H175" s="1866"/>
      <c r="I175" s="1743"/>
      <c r="J175" s="1777"/>
      <c r="K175" s="1782"/>
      <c r="L175" s="1866" t="s">
        <v>324</v>
      </c>
      <c r="M175" s="345"/>
      <c r="N175" s="338"/>
      <c r="O175" s="1628"/>
      <c r="P175" s="1628"/>
      <c r="AH175" s="1635">
        <v>0</v>
      </c>
    </row>
    <row s="1639" customFormat="1" customHeight="1" ht="18.75" hidden="1">
      <c r="A176" s="1784"/>
      <c r="B176" s="1784"/>
      <c r="C176" s="373" t="s">
        <v>1463</v>
      </c>
      <c r="D176" s="2466"/>
      <c r="E176" s="2208"/>
      <c r="F176" s="2387"/>
      <c r="G176" s="2431"/>
      <c r="H176" s="1504"/>
      <c r="I176" s="655" t="s">
        <v>1462</v>
      </c>
      <c r="J176" s="575"/>
      <c r="K176" s="1504"/>
      <c r="L176" s="218"/>
      <c r="M176" s="345"/>
      <c r="N176" s="338"/>
      <c r="O176" s="1628"/>
      <c r="P176" s="1628"/>
      <c r="AH176" s="1635">
        <v>0</v>
      </c>
    </row>
    <row s="1639" customFormat="1" customHeight="1" ht="0.75" hidden="1">
      <c r="A177" s="1784"/>
      <c r="B177" s="1784"/>
      <c r="C177" s="373" t="s">
        <v>1470</v>
      </c>
      <c r="D177" s="2466"/>
      <c r="E177" s="2208"/>
      <c r="F177" s="2387"/>
      <c r="G177" s="404"/>
      <c r="H177" s="1504"/>
      <c r="I177" s="655"/>
      <c r="J177" s="575"/>
      <c r="K177" s="1504"/>
      <c r="L177" s="218"/>
      <c r="M177" s="345"/>
      <c r="N177" s="338"/>
      <c r="O177" s="1628"/>
      <c r="P177" s="1628"/>
      <c r="AH177" s="1635">
        <v>0</v>
      </c>
    </row>
    <row s="1639" customFormat="1" customHeight="1" ht="18.75" hidden="1">
      <c r="A178" s="1784" t="s">
        <v>248</v>
      </c>
      <c r="B178" s="1784" t="s">
        <v>249</v>
      </c>
      <c r="C178" s="373"/>
      <c r="D178" s="2466"/>
      <c r="E178" s="2208"/>
      <c r="F178" s="2387" t="str">
        <f>INDEX(PT_DIFFERENTIATION_VTAR,MATCH(A178,PT_DIFFERENTIATION_VTAR_ID,0))</f>
        <v>Тариф на техническую воду</v>
      </c>
      <c r="G178" s="2431" t="str">
        <f>INDEX(PT_DIFFERENTIATION_NTAR,MATCH(B178,PT_DIFFERENTIATION_NTAR_ID,0))</f>
        <v/>
      </c>
      <c r="H178" s="1866"/>
      <c r="I178" s="1743"/>
      <c r="J178" s="1777"/>
      <c r="K178" s="1782"/>
      <c r="L178" s="1866" t="s">
        <v>324</v>
      </c>
      <c r="M178" s="345"/>
      <c r="N178" s="338"/>
      <c r="O178" s="1628"/>
      <c r="P178" s="1628"/>
      <c r="AH178" s="1635">
        <v>0</v>
      </c>
    </row>
    <row s="1639" customFormat="1" customHeight="1" ht="18.75" hidden="1">
      <c r="A179" s="1784"/>
      <c r="B179" s="1784"/>
      <c r="C179" s="373" t="s">
        <v>1463</v>
      </c>
      <c r="D179" s="2466"/>
      <c r="E179" s="2208"/>
      <c r="F179" s="2387"/>
      <c r="G179" s="2431"/>
      <c r="H179" s="1504"/>
      <c r="I179" s="655" t="s">
        <v>1462</v>
      </c>
      <c r="J179" s="575"/>
      <c r="K179" s="1504"/>
      <c r="L179" s="218"/>
      <c r="M179" s="345"/>
      <c r="N179" s="338"/>
      <c r="O179" s="1628"/>
      <c r="P179" s="1628"/>
      <c r="AH179" s="1635">
        <v>0</v>
      </c>
    </row>
    <row s="1639" customFormat="1" customHeight="1" ht="0.75" hidden="1">
      <c r="A180" s="1784"/>
      <c r="B180" s="1784"/>
      <c r="C180" s="373" t="s">
        <v>1470</v>
      </c>
      <c r="D180" s="2466"/>
      <c r="E180" s="2208"/>
      <c r="F180" s="2387"/>
      <c r="G180" s="404"/>
      <c r="H180" s="1504"/>
      <c r="I180" s="655"/>
      <c r="J180" s="575"/>
      <c r="K180" s="1504"/>
      <c r="L180" s="218"/>
      <c r="M180" s="345"/>
      <c r="N180" s="338"/>
      <c r="O180" s="1628"/>
      <c r="P180" s="1628"/>
      <c r="AH180" s="1635">
        <v>0</v>
      </c>
    </row>
    <row s="1639" customFormat="1" customHeight="1" ht="18.75" hidden="1">
      <c r="A181" s="1784" t="s">
        <v>253</v>
      </c>
      <c r="B181" s="1784" t="s">
        <v>254</v>
      </c>
      <c r="C181" s="373"/>
      <c r="D181" s="2466"/>
      <c r="E181" s="2208"/>
      <c r="F181" s="2387" t="str">
        <f>INDEX(PT_DIFFERENTIATION_VTAR,MATCH(A181,PT_DIFFERENTIATION_VTAR_ID,0))</f>
        <v>Тариф на транспортировку воды</v>
      </c>
      <c r="G181" s="2431" t="str">
        <f>INDEX(PT_DIFFERENTIATION_NTAR,MATCH(B181,PT_DIFFERENTIATION_NTAR_ID,0))</f>
        <v/>
      </c>
      <c r="H181" s="1866"/>
      <c r="I181" s="1743"/>
      <c r="J181" s="1777"/>
      <c r="K181" s="1782"/>
      <c r="L181" s="1866" t="s">
        <v>324</v>
      </c>
      <c r="M181" s="345"/>
      <c r="N181" s="338"/>
      <c r="O181" s="1628"/>
      <c r="P181" s="1628"/>
      <c r="AH181" s="1635">
        <v>0</v>
      </c>
    </row>
    <row s="1639" customFormat="1" customHeight="1" ht="18.75" hidden="1">
      <c r="A182" s="1784"/>
      <c r="B182" s="1784"/>
      <c r="C182" s="373" t="s">
        <v>1463</v>
      </c>
      <c r="D182" s="2466"/>
      <c r="E182" s="2208"/>
      <c r="F182" s="2387"/>
      <c r="G182" s="2431"/>
      <c r="H182" s="1504"/>
      <c r="I182" s="655" t="s">
        <v>1462</v>
      </c>
      <c r="J182" s="575"/>
      <c r="K182" s="1504"/>
      <c r="L182" s="218"/>
      <c r="M182" s="345"/>
      <c r="N182" s="338"/>
      <c r="O182" s="1628"/>
      <c r="P182" s="1628"/>
      <c r="AH182" s="1635">
        <v>0</v>
      </c>
    </row>
    <row s="1639" customFormat="1" customHeight="1" ht="0.75" hidden="1">
      <c r="A183" s="1784"/>
      <c r="B183" s="1784"/>
      <c r="C183" s="373" t="s">
        <v>1470</v>
      </c>
      <c r="D183" s="2466"/>
      <c r="E183" s="2208"/>
      <c r="F183" s="2387"/>
      <c r="G183" s="404"/>
      <c r="H183" s="1504"/>
      <c r="I183" s="655"/>
      <c r="J183" s="575"/>
      <c r="K183" s="1504"/>
      <c r="L183" s="218"/>
      <c r="M183" s="345"/>
      <c r="N183" s="338"/>
      <c r="O183" s="1628"/>
      <c r="P183" s="1628"/>
      <c r="AH183" s="1635">
        <v>0</v>
      </c>
    </row>
    <row s="1639" customFormat="1" customHeight="1" ht="18.75" hidden="1">
      <c r="A184" s="1784" t="s">
        <v>258</v>
      </c>
      <c r="B184" s="1784" t="s">
        <v>259</v>
      </c>
      <c r="C184" s="373"/>
      <c r="D184" s="2466"/>
      <c r="E184" s="2208"/>
      <c r="F184" s="2387" t="str">
        <f>INDEX(PT_DIFFERENTIATION_VTAR,MATCH(A184,PT_DIFFERENTIATION_VTAR_ID,0))</f>
        <v>Тариф на подвоз воды</v>
      </c>
      <c r="G184" s="2431" t="str">
        <f>INDEX(PT_DIFFERENTIATION_NTAR,MATCH(B184,PT_DIFFERENTIATION_NTAR_ID,0))</f>
        <v/>
      </c>
      <c r="H184" s="1866"/>
      <c r="I184" s="1743"/>
      <c r="J184" s="1777"/>
      <c r="K184" s="1782"/>
      <c r="L184" s="1866" t="s">
        <v>324</v>
      </c>
      <c r="M184" s="345"/>
      <c r="N184" s="338"/>
      <c r="O184" s="1628"/>
      <c r="P184" s="1628"/>
      <c r="AH184" s="1635">
        <v>0</v>
      </c>
    </row>
    <row s="1639" customFormat="1" customHeight="1" ht="18.75" hidden="1">
      <c r="A185" s="1784"/>
      <c r="B185" s="1784"/>
      <c r="C185" s="373" t="s">
        <v>1463</v>
      </c>
      <c r="D185" s="2466"/>
      <c r="E185" s="2208"/>
      <c r="F185" s="2387"/>
      <c r="G185" s="2431"/>
      <c r="H185" s="1504"/>
      <c r="I185" s="655" t="s">
        <v>1462</v>
      </c>
      <c r="J185" s="575"/>
      <c r="K185" s="1504"/>
      <c r="L185" s="218"/>
      <c r="M185" s="345"/>
      <c r="N185" s="338"/>
      <c r="O185" s="1628"/>
      <c r="P185" s="1628"/>
      <c r="AH185" s="1635">
        <v>0</v>
      </c>
    </row>
    <row s="1639" customFormat="1" customHeight="1" ht="0.75" hidden="1">
      <c r="A186" s="1784"/>
      <c r="B186" s="1784"/>
      <c r="C186" s="373" t="s">
        <v>1470</v>
      </c>
      <c r="D186" s="2466"/>
      <c r="E186" s="2208"/>
      <c r="F186" s="2387"/>
      <c r="G186" s="404"/>
      <c r="H186" s="1504"/>
      <c r="I186" s="655"/>
      <c r="J186" s="575"/>
      <c r="K186" s="1504"/>
      <c r="L186" s="218"/>
      <c r="M186" s="345"/>
      <c r="N186" s="338"/>
      <c r="O186" s="1628"/>
      <c r="P186" s="1628"/>
      <c r="AH186" s="1635">
        <v>0</v>
      </c>
    </row>
    <row s="1639" customFormat="1" customHeight="1" ht="18.75" hidden="1">
      <c r="A187" s="1784" t="s">
        <v>263</v>
      </c>
      <c r="B187" s="1784" t="s">
        <v>264</v>
      </c>
      <c r="C187" s="373"/>
      <c r="D187" s="2466"/>
      <c r="E187" s="2208"/>
      <c r="F187" s="238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1" t="str">
        <f>INDEX(PT_DIFFERENTIATION_NTAR,MATCH(B187,PT_DIFFERENTIATION_NTAR_ID,0))</f>
        <v/>
      </c>
      <c r="H187" s="1866"/>
      <c r="I187" s="1743"/>
      <c r="J187" s="1777"/>
      <c r="K187" s="1782"/>
      <c r="L187" s="1866" t="s">
        <v>324</v>
      </c>
      <c r="M187" s="345"/>
      <c r="N187" s="338"/>
      <c r="O187" s="1628"/>
      <c r="P187" s="1628"/>
      <c r="AH187" s="1635">
        <v>0</v>
      </c>
    </row>
    <row s="1639" customFormat="1" customHeight="1" ht="18.75" hidden="1">
      <c r="A188" s="1784"/>
      <c r="B188" s="1784"/>
      <c r="C188" s="373" t="s">
        <v>1463</v>
      </c>
      <c r="D188" s="2466"/>
      <c r="E188" s="2208"/>
      <c r="F188" s="2387"/>
      <c r="G188" s="2431"/>
      <c r="H188" s="1504"/>
      <c r="I188" s="655" t="s">
        <v>1462</v>
      </c>
      <c r="J188" s="575"/>
      <c r="K188" s="1504"/>
      <c r="L188" s="218"/>
      <c r="M188" s="345"/>
      <c r="N188" s="338"/>
      <c r="O188" s="1628"/>
      <c r="P188" s="1628"/>
      <c r="AH188" s="1635">
        <v>0</v>
      </c>
    </row>
    <row s="1639" customFormat="1" customHeight="1" ht="0.75" hidden="1">
      <c r="A189" s="1784"/>
      <c r="B189" s="1784"/>
      <c r="C189" s="373" t="s">
        <v>1470</v>
      </c>
      <c r="D189" s="2466"/>
      <c r="E189" s="2208"/>
      <c r="F189" s="2387"/>
      <c r="G189" s="404"/>
      <c r="H189" s="1504"/>
      <c r="I189" s="655"/>
      <c r="J189" s="575"/>
      <c r="K189" s="1504"/>
      <c r="L189" s="218"/>
      <c r="M189" s="345"/>
      <c r="N189" s="338"/>
      <c r="O189" s="1628"/>
      <c r="P189" s="1628"/>
      <c r="AH189" s="1635">
        <v>0</v>
      </c>
    </row>
    <row s="1639" customFormat="1" customHeight="1" ht="18.75" hidden="1">
      <c r="A190" s="1784" t="s">
        <v>268</v>
      </c>
      <c r="B190" s="1784" t="s">
        <v>269</v>
      </c>
      <c r="C190" s="373"/>
      <c r="D190" s="2466"/>
      <c r="E190" s="2208"/>
      <c r="F190" s="2387" t="str">
        <f>INDEX(PT_DIFFERENTIATION_VTAR,MATCH(A190,PT_DIFFERENTIATION_VTAR_ID,0))</f>
        <v>Тариф на горячую воду (горячее водоснабжение)</v>
      </c>
      <c r="G190" s="2431" t="str">
        <f>INDEX(PT_DIFFERENTIATION_NTAR,MATCH(B190,PT_DIFFERENTIATION_NTAR_ID,0))</f>
        <v/>
      </c>
      <c r="H190" s="1866"/>
      <c r="I190" s="1743"/>
      <c r="J190" s="1777"/>
      <c r="K190" s="1782"/>
      <c r="L190" s="1866" t="s">
        <v>324</v>
      </c>
      <c r="M190" s="345"/>
      <c r="N190" s="338"/>
      <c r="O190" s="1628"/>
      <c r="P190" s="1628"/>
      <c r="AH190" s="1635">
        <v>0</v>
      </c>
    </row>
    <row s="1639" customFormat="1" customHeight="1" ht="18.75" hidden="1">
      <c r="A191" s="1784"/>
      <c r="B191" s="1784"/>
      <c r="C191" s="373" t="s">
        <v>1463</v>
      </c>
      <c r="D191" s="2466"/>
      <c r="E191" s="2208"/>
      <c r="F191" s="2387"/>
      <c r="G191" s="2431"/>
      <c r="H191" s="1504"/>
      <c r="I191" s="655" t="s">
        <v>1462</v>
      </c>
      <c r="J191" s="575"/>
      <c r="K191" s="1504"/>
      <c r="L191" s="218"/>
      <c r="M191" s="345"/>
      <c r="N191" s="338"/>
      <c r="O191" s="1628"/>
      <c r="P191" s="1628"/>
      <c r="AH191" s="1635">
        <v>0</v>
      </c>
    </row>
    <row s="1639" customFormat="1" customHeight="1" ht="0.75" hidden="1">
      <c r="A192" s="1784"/>
      <c r="B192" s="1784"/>
      <c r="C192" s="373" t="s">
        <v>1470</v>
      </c>
      <c r="D192" s="2466"/>
      <c r="E192" s="2208"/>
      <c r="F192" s="2387"/>
      <c r="G192" s="404"/>
      <c r="H192" s="1504"/>
      <c r="I192" s="655"/>
      <c r="J192" s="575"/>
      <c r="K192" s="1504"/>
      <c r="L192" s="218"/>
      <c r="M192" s="345"/>
      <c r="N192" s="338"/>
      <c r="O192" s="1628"/>
      <c r="P192" s="1628"/>
      <c r="AH192" s="1635">
        <v>0</v>
      </c>
    </row>
    <row s="1639" customFormat="1" customHeight="1" ht="18.75" hidden="1">
      <c r="A193" s="1784" t="s">
        <v>273</v>
      </c>
      <c r="B193" s="1784" t="s">
        <v>274</v>
      </c>
      <c r="C193" s="373"/>
      <c r="D193" s="2466"/>
      <c r="E193" s="2208"/>
      <c r="F193" s="2387" t="str">
        <f>INDEX(PT_DIFFERENTIATION_VTAR,MATCH(A193,PT_DIFFERENTIATION_VTAR_ID,0))</f>
        <v>Тариф на транспортировку горячей воды</v>
      </c>
      <c r="G193" s="2431" t="str">
        <f>INDEX(PT_DIFFERENTIATION_NTAR,MATCH(B193,PT_DIFFERENTIATION_NTAR_ID,0))</f>
        <v/>
      </c>
      <c r="H193" s="1866"/>
      <c r="I193" s="1743"/>
      <c r="J193" s="1777"/>
      <c r="K193" s="1782"/>
      <c r="L193" s="1866" t="s">
        <v>324</v>
      </c>
      <c r="M193" s="345"/>
      <c r="N193" s="338"/>
      <c r="O193" s="1628"/>
      <c r="P193" s="1628"/>
      <c r="AH193" s="1635">
        <v>0</v>
      </c>
    </row>
    <row s="1639" customFormat="1" customHeight="1" ht="18.75" hidden="1">
      <c r="A194" s="1784"/>
      <c r="B194" s="1784"/>
      <c r="C194" s="373" t="s">
        <v>1463</v>
      </c>
      <c r="D194" s="2466"/>
      <c r="E194" s="2208"/>
      <c r="F194" s="2387"/>
      <c r="G194" s="2431"/>
      <c r="H194" s="1504"/>
      <c r="I194" s="655" t="s">
        <v>1462</v>
      </c>
      <c r="J194" s="575"/>
      <c r="K194" s="1504"/>
      <c r="L194" s="218"/>
      <c r="M194" s="345"/>
      <c r="N194" s="338"/>
      <c r="O194" s="1628"/>
      <c r="P194" s="1628"/>
      <c r="AH194" s="1635">
        <v>0</v>
      </c>
    </row>
    <row s="1639" customFormat="1" customHeight="1" ht="0.75" hidden="1">
      <c r="A195" s="1784"/>
      <c r="B195" s="1784"/>
      <c r="C195" s="373" t="s">
        <v>1470</v>
      </c>
      <c r="D195" s="2466"/>
      <c r="E195" s="2208"/>
      <c r="F195" s="2387"/>
      <c r="G195" s="404"/>
      <c r="H195" s="1504"/>
      <c r="I195" s="655"/>
      <c r="J195" s="575"/>
      <c r="K195" s="1504"/>
      <c r="L195" s="218"/>
      <c r="M195" s="345"/>
      <c r="N195" s="338"/>
      <c r="O195" s="1628"/>
      <c r="P195" s="1628"/>
      <c r="AH195" s="1635">
        <v>0</v>
      </c>
    </row>
    <row s="1639" customFormat="1" customHeight="1" ht="18.75" hidden="1">
      <c r="A196" s="1784" t="s">
        <v>278</v>
      </c>
      <c r="B196" s="1784" t="s">
        <v>279</v>
      </c>
      <c r="C196" s="373"/>
      <c r="D196" s="2466"/>
      <c r="E196" s="2208"/>
      <c r="F196" s="238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1" t="str">
        <f>INDEX(PT_DIFFERENTIATION_NTAR,MATCH(B196,PT_DIFFERENTIATION_NTAR_ID,0))</f>
        <v/>
      </c>
      <c r="H196" s="1866"/>
      <c r="I196" s="1743"/>
      <c r="J196" s="1777"/>
      <c r="K196" s="1782"/>
      <c r="L196" s="1866" t="s">
        <v>324</v>
      </c>
      <c r="M196" s="345"/>
      <c r="N196" s="338"/>
      <c r="O196" s="1628"/>
      <c r="P196" s="1628"/>
      <c r="AH196" s="1635">
        <v>0</v>
      </c>
    </row>
    <row s="1639" customFormat="1" customHeight="1" ht="18.75" hidden="1">
      <c r="A197" s="1784"/>
      <c r="B197" s="1784"/>
      <c r="C197" s="373" t="s">
        <v>1463</v>
      </c>
      <c r="D197" s="2466"/>
      <c r="E197" s="2208"/>
      <c r="F197" s="2387"/>
      <c r="G197" s="2431"/>
      <c r="H197" s="1504"/>
      <c r="I197" s="655" t="s">
        <v>1462</v>
      </c>
      <c r="J197" s="575"/>
      <c r="K197" s="1504"/>
      <c r="L197" s="218"/>
      <c r="M197" s="345"/>
      <c r="N197" s="338"/>
      <c r="O197" s="1628"/>
      <c r="P197" s="1628"/>
      <c r="AH197" s="1635">
        <v>0</v>
      </c>
    </row>
    <row s="1639" customFormat="1" customHeight="1" ht="0.75" hidden="1">
      <c r="A198" s="1784"/>
      <c r="B198" s="1784"/>
      <c r="C198" s="373" t="s">
        <v>1470</v>
      </c>
      <c r="D198" s="2466"/>
      <c r="E198" s="2208"/>
      <c r="F198" s="2387"/>
      <c r="G198" s="404"/>
      <c r="H198" s="1504"/>
      <c r="I198" s="655"/>
      <c r="J198" s="575"/>
      <c r="K198" s="1504"/>
      <c r="L198" s="218"/>
      <c r="M198" s="345"/>
      <c r="N198" s="338"/>
      <c r="O198" s="1628"/>
      <c r="P198" s="1628"/>
      <c r="AH198" s="1635">
        <v>0</v>
      </c>
    </row>
    <row s="1639" customFormat="1" customHeight="1" ht="18.75" hidden="1">
      <c r="A199" s="1784" t="s">
        <v>283</v>
      </c>
      <c r="B199" s="1784" t="s">
        <v>284</v>
      </c>
      <c r="C199" s="373"/>
      <c r="D199" s="2466"/>
      <c r="E199" s="2208"/>
      <c r="F199" s="2387" t="str">
        <f>INDEX(PT_DIFFERENTIATION_VTAR,MATCH(A199,PT_DIFFERENTIATION_VTAR_ID,0))</f>
        <v>Тариф на водоотведение</v>
      </c>
      <c r="G199" s="2431" t="str">
        <f>INDEX(PT_DIFFERENTIATION_NTAR,MATCH(B199,PT_DIFFERENTIATION_NTAR_ID,0))</f>
        <v/>
      </c>
      <c r="H199" s="1866"/>
      <c r="I199" s="1743"/>
      <c r="J199" s="1777"/>
      <c r="K199" s="1782"/>
      <c r="L199" s="1866" t="s">
        <v>324</v>
      </c>
      <c r="M199" s="345"/>
      <c r="N199" s="338"/>
      <c r="O199" s="1628"/>
      <c r="P199" s="1628"/>
      <c r="AH199" s="1635">
        <v>0</v>
      </c>
    </row>
    <row s="1639" customFormat="1" customHeight="1" ht="18.75" hidden="1">
      <c r="A200" s="1784"/>
      <c r="B200" s="1784"/>
      <c r="C200" s="373" t="s">
        <v>1463</v>
      </c>
      <c r="D200" s="2466"/>
      <c r="E200" s="2208"/>
      <c r="F200" s="2387"/>
      <c r="G200" s="2431"/>
      <c r="H200" s="1504"/>
      <c r="I200" s="655" t="s">
        <v>1462</v>
      </c>
      <c r="J200" s="575"/>
      <c r="K200" s="1504"/>
      <c r="L200" s="218"/>
      <c r="M200" s="345"/>
      <c r="N200" s="338"/>
      <c r="O200" s="1628"/>
      <c r="P200" s="1628"/>
      <c r="AH200" s="1635">
        <v>0</v>
      </c>
    </row>
    <row s="1639" customFormat="1" customHeight="1" ht="0.75" hidden="1">
      <c r="A201" s="1784"/>
      <c r="B201" s="1784"/>
      <c r="C201" s="373" t="s">
        <v>1470</v>
      </c>
      <c r="D201" s="2466"/>
      <c r="E201" s="2208"/>
      <c r="F201" s="2387"/>
      <c r="G201" s="404"/>
      <c r="H201" s="1504"/>
      <c r="I201" s="655"/>
      <c r="J201" s="575"/>
      <c r="K201" s="1504"/>
      <c r="L201" s="218"/>
      <c r="M201" s="345"/>
      <c r="N201" s="338"/>
      <c r="O201" s="1628"/>
      <c r="P201" s="1628"/>
      <c r="AH201" s="1635">
        <v>0</v>
      </c>
    </row>
    <row s="1639" customFormat="1" customHeight="1" ht="18.75" hidden="1">
      <c r="A202" s="1784" t="s">
        <v>288</v>
      </c>
      <c r="B202" s="1784" t="s">
        <v>289</v>
      </c>
      <c r="C202" s="373"/>
      <c r="D202" s="2466"/>
      <c r="E202" s="2208"/>
      <c r="F202" s="2387" t="str">
        <f>INDEX(PT_DIFFERENTIATION_VTAR,MATCH(A202,PT_DIFFERENTIATION_VTAR_ID,0))</f>
        <v>Тариф на транспортировку сточных вод</v>
      </c>
      <c r="G202" s="2431" t="str">
        <f>INDEX(PT_DIFFERENTIATION_NTAR,MATCH(B202,PT_DIFFERENTIATION_NTAR_ID,0))</f>
        <v/>
      </c>
      <c r="H202" s="1866"/>
      <c r="I202" s="1743"/>
      <c r="J202" s="1777"/>
      <c r="K202" s="1782"/>
      <c r="L202" s="1866" t="s">
        <v>324</v>
      </c>
      <c r="M202" s="345"/>
      <c r="N202" s="338"/>
      <c r="O202" s="1628"/>
      <c r="P202" s="1628"/>
      <c r="AH202" s="1635">
        <v>0</v>
      </c>
    </row>
    <row s="1639" customFormat="1" customHeight="1" ht="18.75" hidden="1">
      <c r="A203" s="1784"/>
      <c r="B203" s="1784"/>
      <c r="C203" s="373" t="s">
        <v>1463</v>
      </c>
      <c r="D203" s="2466"/>
      <c r="E203" s="2208"/>
      <c r="F203" s="2387"/>
      <c r="G203" s="2431"/>
      <c r="H203" s="1504"/>
      <c r="I203" s="655" t="s">
        <v>1462</v>
      </c>
      <c r="J203" s="575"/>
      <c r="K203" s="1504"/>
      <c r="L203" s="218"/>
      <c r="M203" s="345"/>
      <c r="N203" s="338"/>
      <c r="O203" s="1628"/>
      <c r="P203" s="1628"/>
      <c r="AH203" s="1635">
        <v>0</v>
      </c>
    </row>
    <row s="1639" customFormat="1" customHeight="1" ht="0.75" hidden="1">
      <c r="A204" s="1784"/>
      <c r="B204" s="1784"/>
      <c r="C204" s="373" t="s">
        <v>1470</v>
      </c>
      <c r="D204" s="2466"/>
      <c r="E204" s="2208"/>
      <c r="F204" s="2387"/>
      <c r="G204" s="404"/>
      <c r="H204" s="1504"/>
      <c r="I204" s="655"/>
      <c r="J204" s="575"/>
      <c r="K204" s="1504"/>
      <c r="L204" s="218"/>
      <c r="M204" s="345"/>
      <c r="N204" s="338"/>
      <c r="O204" s="1628"/>
      <c r="P204" s="1628"/>
      <c r="AH204" s="1635">
        <v>0</v>
      </c>
    </row>
    <row s="1639" customFormat="1" customHeight="1" ht="18.75" hidden="1">
      <c r="A205" s="1784" t="s">
        <v>293</v>
      </c>
      <c r="B205" s="1784" t="s">
        <v>294</v>
      </c>
      <c r="C205" s="373"/>
      <c r="D205" s="2466"/>
      <c r="E205" s="2208"/>
      <c r="F205" s="2387" t="str">
        <f>INDEX(PT_DIFFERENTIATION_VTAR,MATCH(A205,PT_DIFFERENTIATION_VTAR_ID,0))</f>
        <v>Тариф на подключение (технологическое присоединение) к централизованной системе водоотведения</v>
      </c>
      <c r="G205" s="2431" t="str">
        <f>INDEX(PT_DIFFERENTIATION_NTAR,MATCH(B205,PT_DIFFERENTIATION_NTAR_ID,0))</f>
        <v/>
      </c>
      <c r="H205" s="1866"/>
      <c r="I205" s="1743"/>
      <c r="J205" s="1777"/>
      <c r="K205" s="1782"/>
      <c r="L205" s="1866" t="s">
        <v>324</v>
      </c>
      <c r="M205" s="345"/>
      <c r="N205" s="338"/>
      <c r="O205" s="1628"/>
      <c r="P205" s="1628"/>
      <c r="AH205" s="1635">
        <v>0</v>
      </c>
    </row>
    <row s="1639" customFormat="1" customHeight="1" ht="18.75" hidden="1">
      <c r="A206" s="1784"/>
      <c r="B206" s="1784"/>
      <c r="C206" s="373" t="s">
        <v>1463</v>
      </c>
      <c r="D206" s="2466"/>
      <c r="E206" s="2208"/>
      <c r="F206" s="2387"/>
      <c r="G206" s="2431"/>
      <c r="H206" s="1504"/>
      <c r="I206" s="655" t="s">
        <v>1462</v>
      </c>
      <c r="J206" s="575"/>
      <c r="K206" s="1504"/>
      <c r="L206" s="218"/>
      <c r="M206" s="345"/>
      <c r="N206" s="338"/>
      <c r="O206" s="1628"/>
      <c r="P206" s="1628"/>
      <c r="AH206" s="1635">
        <v>0</v>
      </c>
    </row>
    <row s="1639" customFormat="1" customHeight="1" ht="1.05">
      <c r="A207" s="1784"/>
      <c r="B207" s="1784"/>
      <c r="C207" s="373" t="s">
        <v>1470</v>
      </c>
      <c r="D207" s="2466"/>
      <c r="E207" s="2208"/>
      <c r="F207" s="2387"/>
      <c r="G207" s="404"/>
      <c r="H207" s="1504"/>
      <c r="I207" s="655"/>
      <c r="J207" s="575"/>
      <c r="K207" s="1504"/>
      <c r="L207" s="218"/>
      <c r="M207" s="345"/>
      <c r="N207" s="338"/>
      <c r="O207" s="1628"/>
      <c r="P207" s="1628"/>
      <c r="AH207" s="1635">
        <v>1</v>
      </c>
    </row>
    <row customHeight="1" ht="27.299999999999997">
      <c r="A208" s="1784"/>
      <c r="B208" s="1784"/>
      <c r="D208" s="380"/>
      <c r="E208" s="151" t="s">
        <v>120</v>
      </c>
      <c r="F208" s="2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4"/>
      <c r="H208" s="2464"/>
      <c r="I208" s="2464"/>
      <c r="J208" s="2464"/>
      <c r="K208" s="2464"/>
      <c r="L208" s="2464"/>
      <c r="M208" s="301"/>
      <c r="N208" s="338"/>
      <c r="AH208" s="378">
        <v>26</v>
      </c>
    </row>
    <row s="1639" customFormat="1" customHeight="1" ht="60.75" hidden="1">
      <c r="A209" s="1784" t="s">
        <v>175</v>
      </c>
      <c r="B209" s="1784" t="s">
        <v>176</v>
      </c>
      <c r="C209" s="373"/>
      <c r="D209" s="2466"/>
      <c r="E209" s="2208"/>
      <c r="F209" s="238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1" t="str">
        <f>INDEX(PT_DIFFERENTIATION_NTAR,MATCH(B209,PT_DIFFERENTIATION_NTAR_ID,0))</f>
        <v/>
      </c>
      <c r="H209" s="1866"/>
      <c r="I209" s="1743"/>
      <c r="J209" s="1777"/>
      <c r="K209" s="1782"/>
      <c r="L209" s="1866" t="s">
        <v>324</v>
      </c>
      <c r="M209"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8"/>
      <c r="O209" s="1628"/>
      <c r="P209" s="1628"/>
      <c r="AH209" s="1635">
        <v>0</v>
      </c>
    </row>
    <row s="1639" customFormat="1" customHeight="1" ht="18.75" hidden="1">
      <c r="A210" s="1784"/>
      <c r="B210" s="1784"/>
      <c r="C210" s="373" t="s">
        <v>1463</v>
      </c>
      <c r="D210" s="2466"/>
      <c r="E210" s="2208"/>
      <c r="F210" s="2387"/>
      <c r="G210" s="2431"/>
      <c r="H210" s="1504"/>
      <c r="I210" s="655" t="s">
        <v>1462</v>
      </c>
      <c r="J210" s="575"/>
      <c r="K210" s="1504"/>
      <c r="L210" s="218"/>
      <c r="M210" s="2174"/>
      <c r="N210" s="338"/>
      <c r="O210" s="1628"/>
      <c r="P210" s="1628"/>
      <c r="AH210" s="1635">
        <v>0</v>
      </c>
    </row>
    <row s="1639" customFormat="1" customHeight="1" ht="0.75" hidden="1">
      <c r="A211" s="1784"/>
      <c r="B211" s="1784"/>
      <c r="C211" s="373" t="s">
        <v>1470</v>
      </c>
      <c r="D211" s="2466"/>
      <c r="E211" s="2208"/>
      <c r="F211" s="2387"/>
      <c r="G211" s="404"/>
      <c r="H211" s="1504"/>
      <c r="I211" s="655"/>
      <c r="J211" s="575"/>
      <c r="K211" s="1504"/>
      <c r="L211" s="218"/>
      <c r="M211" s="2174"/>
      <c r="N211" s="338"/>
      <c r="O211" s="1628"/>
      <c r="P211" s="1628"/>
      <c r="AH211" s="1635">
        <v>0</v>
      </c>
    </row>
    <row s="1639" customFormat="1" customHeight="1" ht="45" hidden="1">
      <c r="A212" s="1784" t="s">
        <v>180</v>
      </c>
      <c r="B212" s="1784" t="s">
        <v>181</v>
      </c>
      <c r="C212" s="373"/>
      <c r="D212" s="2466"/>
      <c r="E212" s="2208"/>
      <c r="F212" s="2387" t="str">
        <f>INDEX(PT_DIFFERENTIATION_VTAR,MATCH(A212,PT_DIFFERENTIATION_VTAR_ID,0))</f>
        <v/>
      </c>
      <c r="G212" s="2431" t="str">
        <f>INDEX(PT_DIFFERENTIATION_NTAR,MATCH(B212,PT_DIFFERENTIATION_NTAR_ID,0))</f>
        <v/>
      </c>
      <c r="H212" s="1866"/>
      <c r="I212" s="1743"/>
      <c r="J212" s="1777"/>
      <c r="K212" s="1782"/>
      <c r="L212" s="1866" t="s">
        <v>324</v>
      </c>
      <c r="M212" s="2175"/>
      <c r="N212" s="338"/>
      <c r="O212" s="1628"/>
      <c r="P212" s="1628"/>
      <c r="AH212" s="1635">
        <v>0</v>
      </c>
    </row>
    <row s="1639" customFormat="1" customHeight="1" ht="18.75" hidden="1">
      <c r="A213" s="1784"/>
      <c r="B213" s="1784"/>
      <c r="C213" s="373" t="s">
        <v>1463</v>
      </c>
      <c r="D213" s="2466"/>
      <c r="E213" s="2208"/>
      <c r="F213" s="2387"/>
      <c r="G213" s="2431"/>
      <c r="H213" s="1504"/>
      <c r="I213" s="655" t="s">
        <v>1462</v>
      </c>
      <c r="J213" s="575"/>
      <c r="K213" s="1504"/>
      <c r="L213" s="218"/>
      <c r="M213" s="1865"/>
      <c r="N213" s="338"/>
      <c r="O213" s="1628"/>
      <c r="P213" s="1628"/>
      <c r="AH213" s="1635">
        <v>0</v>
      </c>
    </row>
    <row s="1639" customFormat="1" customHeight="1" ht="0.75" hidden="1">
      <c r="A214" s="1784"/>
      <c r="B214" s="1784"/>
      <c r="C214" s="373" t="s">
        <v>1470</v>
      </c>
      <c r="D214" s="2466"/>
      <c r="E214" s="2208"/>
      <c r="F214" s="2387"/>
      <c r="G214" s="404"/>
      <c r="H214" s="1504"/>
      <c r="I214" s="655"/>
      <c r="J214" s="575"/>
      <c r="K214" s="1504"/>
      <c r="L214" s="218"/>
      <c r="M214" s="345"/>
      <c r="N214" s="338"/>
      <c r="O214" s="1628"/>
      <c r="P214" s="1628"/>
      <c r="AH214" s="1635">
        <v>0</v>
      </c>
    </row>
    <row s="1639" customFormat="1" customHeight="1" ht="45" hidden="1">
      <c r="A215" s="1784" t="s">
        <v>187</v>
      </c>
      <c r="B215" s="1784" t="s">
        <v>188</v>
      </c>
      <c r="C215" s="373"/>
      <c r="D215" s="2466"/>
      <c r="E215" s="2208"/>
      <c r="F215" s="238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1" t="str">
        <f>INDEX(PT_DIFFERENTIATION_NTAR,MATCH(B215,PT_DIFFERENTIATION_NTAR_ID,0))</f>
        <v/>
      </c>
      <c r="H215" s="1866"/>
      <c r="I215" s="1743"/>
      <c r="J215" s="1777"/>
      <c r="K215" s="1782"/>
      <c r="L215" s="1866" t="s">
        <v>324</v>
      </c>
      <c r="M215" s="345"/>
      <c r="N215" s="338"/>
      <c r="O215" s="1628"/>
      <c r="P215" s="1628"/>
      <c r="AH215" s="1635">
        <v>0</v>
      </c>
    </row>
    <row s="1639" customFormat="1" customHeight="1" ht="18.75" hidden="1">
      <c r="A216" s="1784"/>
      <c r="B216" s="1784"/>
      <c r="C216" s="373" t="s">
        <v>1463</v>
      </c>
      <c r="D216" s="2466"/>
      <c r="E216" s="2208"/>
      <c r="F216" s="2387"/>
      <c r="G216" s="2431"/>
      <c r="H216" s="1504"/>
      <c r="I216" s="655" t="s">
        <v>1462</v>
      </c>
      <c r="J216" s="575"/>
      <c r="K216" s="1504"/>
      <c r="L216" s="218"/>
      <c r="M216" s="345"/>
      <c r="N216" s="338"/>
      <c r="O216" s="1628"/>
      <c r="P216" s="1628"/>
      <c r="AH216" s="1635">
        <v>0</v>
      </c>
    </row>
    <row s="1639" customFormat="1" customHeight="1" ht="0.75" hidden="1">
      <c r="A217" s="1784"/>
      <c r="B217" s="1784"/>
      <c r="C217" s="373" t="s">
        <v>1470</v>
      </c>
      <c r="D217" s="2466"/>
      <c r="E217" s="2208"/>
      <c r="F217" s="2387"/>
      <c r="G217" s="404"/>
      <c r="H217" s="1504"/>
      <c r="I217" s="655"/>
      <c r="J217" s="575"/>
      <c r="K217" s="1504"/>
      <c r="L217" s="218"/>
      <c r="M217" s="345"/>
      <c r="N217" s="338"/>
      <c r="O217" s="1628"/>
      <c r="P217" s="1628"/>
      <c r="AH217" s="1635">
        <v>0</v>
      </c>
    </row>
    <row s="1639" customFormat="1" customHeight="1" ht="45" hidden="1">
      <c r="A218" s="1784" t="s">
        <v>193</v>
      </c>
      <c r="B218" s="1784" t="s">
        <v>194</v>
      </c>
      <c r="C218" s="373"/>
      <c r="D218" s="2466"/>
      <c r="E218" s="2208"/>
      <c r="F218" s="238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1" t="str">
        <f>INDEX(PT_DIFFERENTIATION_NTAR,MATCH(B218,PT_DIFFERENTIATION_NTAR_ID,0))</f>
        <v/>
      </c>
      <c r="H218" s="1866"/>
      <c r="I218" s="1743"/>
      <c r="J218" s="1777"/>
      <c r="K218" s="1782"/>
      <c r="L218" s="1866" t="s">
        <v>324</v>
      </c>
      <c r="M218" s="345"/>
      <c r="N218" s="338"/>
      <c r="O218" s="1628"/>
      <c r="P218" s="1628"/>
      <c r="AH218" s="1635">
        <v>0</v>
      </c>
    </row>
    <row s="1639" customFormat="1" customHeight="1" ht="18.75" hidden="1">
      <c r="A219" s="1784"/>
      <c r="B219" s="1784"/>
      <c r="C219" s="373" t="s">
        <v>1463</v>
      </c>
      <c r="D219" s="2466"/>
      <c r="E219" s="2208"/>
      <c r="F219" s="2387"/>
      <c r="G219" s="2431"/>
      <c r="H219" s="1504"/>
      <c r="I219" s="655" t="s">
        <v>1462</v>
      </c>
      <c r="J219" s="575"/>
      <c r="K219" s="1504"/>
      <c r="L219" s="218"/>
      <c r="M219" s="345"/>
      <c r="N219" s="338"/>
      <c r="O219" s="1628"/>
      <c r="P219" s="1628"/>
      <c r="AH219" s="1635">
        <v>0</v>
      </c>
    </row>
    <row s="1639" customFormat="1" customHeight="1" ht="0.75" hidden="1">
      <c r="A220" s="1784"/>
      <c r="B220" s="1784"/>
      <c r="C220" s="373" t="s">
        <v>1470</v>
      </c>
      <c r="D220" s="2466"/>
      <c r="E220" s="2208"/>
      <c r="F220" s="2387"/>
      <c r="G220" s="404"/>
      <c r="H220" s="1504"/>
      <c r="I220" s="655"/>
      <c r="J220" s="575"/>
      <c r="K220" s="1504"/>
      <c r="L220" s="218"/>
      <c r="M220" s="345"/>
      <c r="N220" s="338"/>
      <c r="O220" s="1628"/>
      <c r="P220" s="1628"/>
      <c r="AH220" s="1635">
        <v>0</v>
      </c>
    </row>
    <row s="1639" customFormat="1" customHeight="1" ht="18.75" hidden="1">
      <c r="A221" s="1784" t="s">
        <v>199</v>
      </c>
      <c r="B221" s="1784" t="s">
        <v>200</v>
      </c>
      <c r="C221" s="373"/>
      <c r="D221" s="2466"/>
      <c r="E221" s="2208"/>
      <c r="F221" s="2387" t="str">
        <f>INDEX(PT_DIFFERENTIATION_VTAR,MATCH(A221,PT_DIFFERENTIATION_VTAR_ID,0))</f>
        <v>Тарифы на услуги по передаче тепловой энергии</v>
      </c>
      <c r="G221" s="2431" t="str">
        <f>INDEX(PT_DIFFERENTIATION_NTAR,MATCH(B221,PT_DIFFERENTIATION_NTAR_ID,0))</f>
        <v/>
      </c>
      <c r="H221" s="1866"/>
      <c r="I221" s="1743"/>
      <c r="J221" s="1777"/>
      <c r="K221" s="1782"/>
      <c r="L221" s="1866" t="s">
        <v>324</v>
      </c>
      <c r="M221" s="345"/>
      <c r="N221" s="338"/>
      <c r="O221" s="1628"/>
      <c r="P221" s="1628"/>
      <c r="AH221" s="1635">
        <v>0</v>
      </c>
    </row>
    <row s="1639" customFormat="1" customHeight="1" ht="18.75" hidden="1">
      <c r="A222" s="1784"/>
      <c r="B222" s="1784"/>
      <c r="C222" s="373" t="s">
        <v>1463</v>
      </c>
      <c r="D222" s="2466"/>
      <c r="E222" s="2208"/>
      <c r="F222" s="2387"/>
      <c r="G222" s="2431"/>
      <c r="H222" s="1504"/>
      <c r="I222" s="655" t="s">
        <v>1462</v>
      </c>
      <c r="J222" s="575"/>
      <c r="K222" s="1504"/>
      <c r="L222" s="218"/>
      <c r="M222" s="345"/>
      <c r="N222" s="338"/>
      <c r="O222" s="1628"/>
      <c r="P222" s="1628"/>
      <c r="AH222" s="1635">
        <v>0</v>
      </c>
    </row>
    <row s="1639" customFormat="1" customHeight="1" ht="0.75" hidden="1">
      <c r="A223" s="1784"/>
      <c r="B223" s="1784"/>
      <c r="C223" s="373" t="s">
        <v>1470</v>
      </c>
      <c r="D223" s="2466"/>
      <c r="E223" s="2208"/>
      <c r="F223" s="2387"/>
      <c r="G223" s="404"/>
      <c r="H223" s="1504"/>
      <c r="I223" s="655"/>
      <c r="J223" s="575"/>
      <c r="K223" s="1504"/>
      <c r="L223" s="218"/>
      <c r="M223" s="345"/>
      <c r="N223" s="338"/>
      <c r="O223" s="1628"/>
      <c r="P223" s="1628"/>
      <c r="AH223" s="1635">
        <v>0</v>
      </c>
    </row>
    <row s="1639" customFormat="1" customHeight="1" ht="18.75" hidden="1">
      <c r="A224" s="1784" t="s">
        <v>205</v>
      </c>
      <c r="B224" s="1784" t="s">
        <v>206</v>
      </c>
      <c r="C224" s="373"/>
      <c r="D224" s="2466"/>
      <c r="E224" s="2208"/>
      <c r="F224" s="2387" t="str">
        <f>INDEX(PT_DIFFERENTIATION_VTAR,MATCH(A224,PT_DIFFERENTIATION_VTAR_ID,0))</f>
        <v>Тарифы на услуги по передаче теплоносителя</v>
      </c>
      <c r="G224" s="2431" t="str">
        <f>INDEX(PT_DIFFERENTIATION_NTAR,MATCH(B224,PT_DIFFERENTIATION_NTAR_ID,0))</f>
        <v/>
      </c>
      <c r="H224" s="1866"/>
      <c r="I224" s="1743"/>
      <c r="J224" s="1777"/>
      <c r="K224" s="1782"/>
      <c r="L224" s="1866" t="s">
        <v>324</v>
      </c>
      <c r="M224" s="345"/>
      <c r="N224" s="338"/>
      <c r="O224" s="1628"/>
      <c r="P224" s="1628"/>
      <c r="AH224" s="1635">
        <v>0</v>
      </c>
    </row>
    <row s="1639" customFormat="1" customHeight="1" ht="18.75" hidden="1">
      <c r="A225" s="1784"/>
      <c r="B225" s="1784"/>
      <c r="C225" s="373" t="s">
        <v>1463</v>
      </c>
      <c r="D225" s="2466"/>
      <c r="E225" s="2208"/>
      <c r="F225" s="2387"/>
      <c r="G225" s="2431"/>
      <c r="H225" s="1504"/>
      <c r="I225" s="655" t="s">
        <v>1462</v>
      </c>
      <c r="J225" s="575"/>
      <c r="K225" s="1504"/>
      <c r="L225" s="218"/>
      <c r="M225" s="345"/>
      <c r="N225" s="338"/>
      <c r="O225" s="1628"/>
      <c r="P225" s="1628"/>
      <c r="AH225" s="1635">
        <v>0</v>
      </c>
    </row>
    <row s="1639" customFormat="1" customHeight="1" ht="0.75" hidden="1">
      <c r="A226" s="1784"/>
      <c r="B226" s="1784"/>
      <c r="C226" s="373" t="s">
        <v>1470</v>
      </c>
      <c r="D226" s="2466"/>
      <c r="E226" s="2208"/>
      <c r="F226" s="2387"/>
      <c r="G226" s="404"/>
      <c r="H226" s="1504"/>
      <c r="I226" s="655"/>
      <c r="J226" s="575"/>
      <c r="K226" s="1504"/>
      <c r="L226" s="218"/>
      <c r="M226" s="345"/>
      <c r="N226" s="338"/>
      <c r="O226" s="1628"/>
      <c r="P226" s="1628"/>
      <c r="AH226" s="1635">
        <v>0</v>
      </c>
    </row>
    <row s="1639" customFormat="1" customHeight="1" ht="18.75" hidden="1">
      <c r="A227" s="1784" t="s">
        <v>211</v>
      </c>
      <c r="B227" s="1784" t="s">
        <v>212</v>
      </c>
      <c r="C227" s="373"/>
      <c r="D227" s="2466"/>
      <c r="E227" s="2208"/>
      <c r="F227" s="238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1" t="str">
        <f>INDEX(PT_DIFFERENTIATION_NTAR,MATCH(B227,PT_DIFFERENTIATION_NTAR_ID,0))</f>
        <v/>
      </c>
      <c r="H227" s="1866"/>
      <c r="I227" s="1743"/>
      <c r="J227" s="1777"/>
      <c r="K227" s="1782"/>
      <c r="L227" s="1866" t="s">
        <v>324</v>
      </c>
      <c r="M227" s="345"/>
      <c r="N227" s="338"/>
      <c r="O227" s="1628"/>
      <c r="P227" s="1628"/>
      <c r="AH227" s="1635">
        <v>0</v>
      </c>
    </row>
    <row s="1639" customFormat="1" customHeight="1" ht="18.75" hidden="1">
      <c r="A228" s="1784"/>
      <c r="B228" s="1784"/>
      <c r="C228" s="373" t="s">
        <v>1463</v>
      </c>
      <c r="D228" s="2466"/>
      <c r="E228" s="2208"/>
      <c r="F228" s="2387"/>
      <c r="G228" s="2431"/>
      <c r="H228" s="1504"/>
      <c r="I228" s="655" t="s">
        <v>1462</v>
      </c>
      <c r="J228" s="575"/>
      <c r="K228" s="1504"/>
      <c r="L228" s="218"/>
      <c r="M228" s="345"/>
      <c r="N228" s="338"/>
      <c r="O228" s="1628"/>
      <c r="P228" s="1628"/>
      <c r="AH228" s="1635">
        <v>0</v>
      </c>
    </row>
    <row s="1639" customFormat="1" customHeight="1" ht="0.75" hidden="1">
      <c r="A229" s="1784"/>
      <c r="B229" s="1784"/>
      <c r="C229" s="373" t="s">
        <v>1470</v>
      </c>
      <c r="D229" s="2466"/>
      <c r="E229" s="2208"/>
      <c r="F229" s="2387"/>
      <c r="G229" s="404"/>
      <c r="H229" s="1504"/>
      <c r="I229" s="655"/>
      <c r="J229" s="575"/>
      <c r="K229" s="1504"/>
      <c r="L229" s="218"/>
      <c r="M229" s="345"/>
      <c r="N229" s="338"/>
      <c r="O229" s="1628"/>
      <c r="P229" s="1628"/>
      <c r="AH229" s="1635">
        <v>0</v>
      </c>
    </row>
    <row s="1639" customFormat="1" customHeight="1" ht="18.75" hidden="1">
      <c r="A230" s="1784" t="s">
        <v>217</v>
      </c>
      <c r="B230" s="1784" t="s">
        <v>218</v>
      </c>
      <c r="C230" s="373"/>
      <c r="D230" s="2466"/>
      <c r="E230" s="2208"/>
      <c r="F230" s="2387" t="str">
        <f>INDEX(PT_DIFFERENTIATION_VTAR,MATCH(A230,PT_DIFFERENTIATION_VTAR_ID,0))</f>
        <v>Плата за подключение (технологическое присоединение) к системе теплоснабжения</v>
      </c>
      <c r="G230" s="2431" t="str">
        <f>INDEX(PT_DIFFERENTIATION_NTAR,MATCH(B230,PT_DIFFERENTIATION_NTAR_ID,0))</f>
        <v/>
      </c>
      <c r="H230" s="1866"/>
      <c r="I230" s="1743"/>
      <c r="J230" s="1777"/>
      <c r="K230" s="1782"/>
      <c r="L230" s="1866" t="s">
        <v>324</v>
      </c>
      <c r="M230" s="345"/>
      <c r="N230" s="338"/>
      <c r="O230" s="1628"/>
      <c r="P230" s="1628"/>
      <c r="AH230" s="1635">
        <v>0</v>
      </c>
    </row>
    <row s="1639" customFormat="1" customHeight="1" ht="18.75" hidden="1">
      <c r="A231" s="1784"/>
      <c r="B231" s="1784"/>
      <c r="C231" s="373" t="s">
        <v>1463</v>
      </c>
      <c r="D231" s="2466"/>
      <c r="E231" s="2208"/>
      <c r="F231" s="2387"/>
      <c r="G231" s="2431"/>
      <c r="H231" s="1504"/>
      <c r="I231" s="655" t="s">
        <v>1462</v>
      </c>
      <c r="J231" s="575"/>
      <c r="K231" s="1504"/>
      <c r="L231" s="218"/>
      <c r="M231" s="345"/>
      <c r="N231" s="338"/>
      <c r="O231" s="1628"/>
      <c r="P231" s="1628"/>
      <c r="AH231" s="1635">
        <v>0</v>
      </c>
    </row>
    <row s="1639" customFormat="1" customHeight="1" ht="0.75" hidden="1">
      <c r="A232" s="1784"/>
      <c r="B232" s="1784"/>
      <c r="C232" s="373" t="s">
        <v>1470</v>
      </c>
      <c r="D232" s="2466"/>
      <c r="E232" s="2208"/>
      <c r="F232" s="2387"/>
      <c r="G232" s="404"/>
      <c r="H232" s="1504"/>
      <c r="I232" s="655"/>
      <c r="J232" s="575"/>
      <c r="K232" s="1504"/>
      <c r="L232" s="218"/>
      <c r="M232" s="345"/>
      <c r="N232" s="338"/>
      <c r="O232" s="1628"/>
      <c r="P232" s="1628"/>
      <c r="AH232" s="1635">
        <v>0</v>
      </c>
    </row>
    <row s="1639" customFormat="1" customHeight="1" ht="18.75" hidden="1">
      <c r="A233" s="1784" t="s">
        <v>223</v>
      </c>
      <c r="B233" s="1784" t="s">
        <v>224</v>
      </c>
      <c r="C233" s="373"/>
      <c r="D233" s="2466"/>
      <c r="E233" s="2208"/>
      <c r="F233" s="2387" t="str">
        <f>INDEX(PT_DIFFERENTIATION_VTAR,MATCH(A233,PT_DIFFERENTIATION_VTAR_ID,0))</f>
        <v>Плата за подключение (технологическое присоединение) к системе теплоснабжения (индивидуальная)</v>
      </c>
      <c r="G233" s="2431" t="str">
        <f>INDEX(PT_DIFFERENTIATION_NTAR,MATCH(B233,PT_DIFFERENTIATION_NTAR_ID,0))</f>
        <v/>
      </c>
      <c r="H233" s="1993"/>
      <c r="I233" s="1743"/>
      <c r="J233" s="1777"/>
      <c r="K233" s="1782"/>
      <c r="L233" s="1993" t="s">
        <v>324</v>
      </c>
      <c r="M233" s="345"/>
      <c r="N233" s="338"/>
      <c r="O233" s="1628"/>
      <c r="P233" s="1628"/>
      <c r="AH233" s="1635">
        <v>0</v>
      </c>
    </row>
    <row s="1639" customFormat="1" customHeight="1" ht="18.75" hidden="1">
      <c r="A234" s="1784"/>
      <c r="B234" s="1784"/>
      <c r="C234" s="373" t="s">
        <v>1463</v>
      </c>
      <c r="D234" s="2466"/>
      <c r="E234" s="2208"/>
      <c r="F234" s="2387"/>
      <c r="G234" s="2431"/>
      <c r="H234" s="1504"/>
      <c r="I234" s="655" t="s">
        <v>1462</v>
      </c>
      <c r="J234" s="575"/>
      <c r="K234" s="1504"/>
      <c r="L234" s="218"/>
      <c r="M234" s="345"/>
      <c r="N234" s="338"/>
      <c r="O234" s="1628"/>
      <c r="P234" s="1628"/>
      <c r="AH234" s="1635">
        <v>0</v>
      </c>
    </row>
    <row s="1639" customFormat="1" customHeight="1" ht="0.75" hidden="1">
      <c r="A235" s="1784"/>
      <c r="B235" s="1784"/>
      <c r="C235" s="373" t="s">
        <v>1470</v>
      </c>
      <c r="D235" s="2466"/>
      <c r="E235" s="2208"/>
      <c r="F235" s="2387"/>
      <c r="G235" s="404"/>
      <c r="H235" s="1504"/>
      <c r="I235" s="655"/>
      <c r="J235" s="575"/>
      <c r="K235" s="1504"/>
      <c r="L235" s="218"/>
      <c r="M235" s="345"/>
      <c r="N235" s="338"/>
      <c r="O235" s="1628"/>
      <c r="P235" s="1628"/>
      <c r="AH235" s="1635">
        <v>0</v>
      </c>
    </row>
    <row s="1639" customFormat="1" customHeight="1" ht="18.75" hidden="1">
      <c r="A236" s="1784" t="s">
        <v>243</v>
      </c>
      <c r="B236" s="1784" t="s">
        <v>244</v>
      </c>
      <c r="C236" s="373"/>
      <c r="D236" s="2466"/>
      <c r="E236" s="2208"/>
      <c r="F236" s="2387" t="str">
        <f>INDEX(PT_DIFFERENTIATION_VTAR,MATCH(A236,PT_DIFFERENTIATION_VTAR_ID,0))</f>
        <v>Тариф на питьевую воду (питьевое водоснабжение)</v>
      </c>
      <c r="G236" s="2431" t="str">
        <f>INDEX(PT_DIFFERENTIATION_NTAR,MATCH(B236,PT_DIFFERENTIATION_NTAR_ID,0))</f>
        <v/>
      </c>
      <c r="H236" s="1866"/>
      <c r="I236" s="1743"/>
      <c r="J236" s="1777"/>
      <c r="K236" s="1782"/>
      <c r="L236" s="1866" t="s">
        <v>324</v>
      </c>
      <c r="M236" s="345"/>
      <c r="N236" s="338"/>
      <c r="O236" s="1628"/>
      <c r="P236" s="1628"/>
      <c r="AH236" s="1635">
        <v>0</v>
      </c>
    </row>
    <row s="1639" customFormat="1" customHeight="1" ht="18.75" hidden="1">
      <c r="A237" s="1784"/>
      <c r="B237" s="1784"/>
      <c r="C237" s="373" t="s">
        <v>1463</v>
      </c>
      <c r="D237" s="2466"/>
      <c r="E237" s="2208"/>
      <c r="F237" s="2387"/>
      <c r="G237" s="2431"/>
      <c r="H237" s="1504"/>
      <c r="I237" s="655" t="s">
        <v>1462</v>
      </c>
      <c r="J237" s="575"/>
      <c r="K237" s="1504"/>
      <c r="L237" s="218"/>
      <c r="M237" s="345"/>
      <c r="N237" s="338"/>
      <c r="O237" s="1628"/>
      <c r="P237" s="1628"/>
      <c r="AH237" s="1635">
        <v>0</v>
      </c>
    </row>
    <row s="1639" customFormat="1" customHeight="1" ht="0.75" hidden="1">
      <c r="A238" s="1784"/>
      <c r="B238" s="1784"/>
      <c r="C238" s="373" t="s">
        <v>1470</v>
      </c>
      <c r="D238" s="2466"/>
      <c r="E238" s="2208"/>
      <c r="F238" s="2387"/>
      <c r="G238" s="404"/>
      <c r="H238" s="1504"/>
      <c r="I238" s="655"/>
      <c r="J238" s="575"/>
      <c r="K238" s="1504"/>
      <c r="L238" s="218"/>
      <c r="M238" s="345"/>
      <c r="N238" s="338"/>
      <c r="O238" s="1628"/>
      <c r="P238" s="1628"/>
      <c r="AH238" s="1635">
        <v>0</v>
      </c>
    </row>
    <row s="1639" customFormat="1" customHeight="1" ht="18.75" hidden="1">
      <c r="A239" s="1784" t="s">
        <v>248</v>
      </c>
      <c r="B239" s="1784" t="s">
        <v>249</v>
      </c>
      <c r="C239" s="373"/>
      <c r="D239" s="2466"/>
      <c r="E239" s="2208"/>
      <c r="F239" s="2387" t="str">
        <f>INDEX(PT_DIFFERENTIATION_VTAR,MATCH(A239,PT_DIFFERENTIATION_VTAR_ID,0))</f>
        <v>Тариф на техническую воду</v>
      </c>
      <c r="G239" s="2431" t="str">
        <f>INDEX(PT_DIFFERENTIATION_NTAR,MATCH(B239,PT_DIFFERENTIATION_NTAR_ID,0))</f>
        <v/>
      </c>
      <c r="H239" s="1866"/>
      <c r="I239" s="1743"/>
      <c r="J239" s="1777"/>
      <c r="K239" s="1782"/>
      <c r="L239" s="1866" t="s">
        <v>324</v>
      </c>
      <c r="M239" s="345"/>
      <c r="N239" s="338"/>
      <c r="O239" s="1628"/>
      <c r="P239" s="1628"/>
      <c r="AH239" s="1635">
        <v>0</v>
      </c>
    </row>
    <row s="1639" customFormat="1" customHeight="1" ht="18.75" hidden="1">
      <c r="A240" s="1784"/>
      <c r="B240" s="1784"/>
      <c r="C240" s="373" t="s">
        <v>1463</v>
      </c>
      <c r="D240" s="2466"/>
      <c r="E240" s="2208"/>
      <c r="F240" s="2387"/>
      <c r="G240" s="2431"/>
      <c r="H240" s="1504"/>
      <c r="I240" s="655" t="s">
        <v>1462</v>
      </c>
      <c r="J240" s="575"/>
      <c r="K240" s="1504"/>
      <c r="L240" s="218"/>
      <c r="M240" s="345"/>
      <c r="N240" s="338"/>
      <c r="O240" s="1628"/>
      <c r="P240" s="1628"/>
      <c r="AH240" s="1635">
        <v>0</v>
      </c>
    </row>
    <row s="1639" customFormat="1" customHeight="1" ht="0.75" hidden="1">
      <c r="A241" s="1784"/>
      <c r="B241" s="1784"/>
      <c r="C241" s="373" t="s">
        <v>1470</v>
      </c>
      <c r="D241" s="2466"/>
      <c r="E241" s="2208"/>
      <c r="F241" s="2387"/>
      <c r="G241" s="404"/>
      <c r="H241" s="1504"/>
      <c r="I241" s="655"/>
      <c r="J241" s="575"/>
      <c r="K241" s="1504"/>
      <c r="L241" s="218"/>
      <c r="M241" s="345"/>
      <c r="N241" s="338"/>
      <c r="O241" s="1628"/>
      <c r="P241" s="1628"/>
      <c r="AH241" s="1635">
        <v>0</v>
      </c>
    </row>
    <row s="1639" customFormat="1" customHeight="1" ht="18.75" hidden="1">
      <c r="A242" s="1784" t="s">
        <v>253</v>
      </c>
      <c r="B242" s="1784" t="s">
        <v>254</v>
      </c>
      <c r="C242" s="373"/>
      <c r="D242" s="2466"/>
      <c r="E242" s="2208"/>
      <c r="F242" s="2387" t="str">
        <f>INDEX(PT_DIFFERENTIATION_VTAR,MATCH(A242,PT_DIFFERENTIATION_VTAR_ID,0))</f>
        <v>Тариф на транспортировку воды</v>
      </c>
      <c r="G242" s="2431" t="str">
        <f>INDEX(PT_DIFFERENTIATION_NTAR,MATCH(B242,PT_DIFFERENTIATION_NTAR_ID,0))</f>
        <v/>
      </c>
      <c r="H242" s="1866"/>
      <c r="I242" s="1743"/>
      <c r="J242" s="1777"/>
      <c r="K242" s="1782"/>
      <c r="L242" s="1866" t="s">
        <v>324</v>
      </c>
      <c r="M242" s="345"/>
      <c r="N242" s="338"/>
      <c r="O242" s="1628"/>
      <c r="P242" s="1628"/>
      <c r="AH242" s="1635">
        <v>0</v>
      </c>
    </row>
    <row s="1639" customFormat="1" customHeight="1" ht="18.75" hidden="1">
      <c r="A243" s="1784"/>
      <c r="B243" s="1784"/>
      <c r="C243" s="373" t="s">
        <v>1463</v>
      </c>
      <c r="D243" s="2466"/>
      <c r="E243" s="2208"/>
      <c r="F243" s="2387"/>
      <c r="G243" s="2431"/>
      <c r="H243" s="1504"/>
      <c r="I243" s="655" t="s">
        <v>1462</v>
      </c>
      <c r="J243" s="575"/>
      <c r="K243" s="1504"/>
      <c r="L243" s="218"/>
      <c r="M243" s="345"/>
      <c r="N243" s="338"/>
      <c r="O243" s="1628"/>
      <c r="P243" s="1628"/>
      <c r="AH243" s="1635">
        <v>0</v>
      </c>
    </row>
    <row s="1639" customFormat="1" customHeight="1" ht="0.75" hidden="1">
      <c r="A244" s="1784"/>
      <c r="B244" s="1784"/>
      <c r="C244" s="373" t="s">
        <v>1470</v>
      </c>
      <c r="D244" s="2466"/>
      <c r="E244" s="2208"/>
      <c r="F244" s="2387"/>
      <c r="G244" s="404"/>
      <c r="H244" s="1504"/>
      <c r="I244" s="655"/>
      <c r="J244" s="575"/>
      <c r="K244" s="1504"/>
      <c r="L244" s="218"/>
      <c r="M244" s="345"/>
      <c r="N244" s="338"/>
      <c r="O244" s="1628"/>
      <c r="P244" s="1628"/>
      <c r="AH244" s="1635">
        <v>0</v>
      </c>
    </row>
    <row s="1639" customFormat="1" customHeight="1" ht="18.75" hidden="1">
      <c r="A245" s="1784" t="s">
        <v>258</v>
      </c>
      <c r="B245" s="1784" t="s">
        <v>259</v>
      </c>
      <c r="C245" s="373"/>
      <c r="D245" s="2466"/>
      <c r="E245" s="2208"/>
      <c r="F245" s="2387" t="str">
        <f>INDEX(PT_DIFFERENTIATION_VTAR,MATCH(A245,PT_DIFFERENTIATION_VTAR_ID,0))</f>
        <v>Тариф на подвоз воды</v>
      </c>
      <c r="G245" s="2431" t="str">
        <f>INDEX(PT_DIFFERENTIATION_NTAR,MATCH(B245,PT_DIFFERENTIATION_NTAR_ID,0))</f>
        <v/>
      </c>
      <c r="H245" s="1866"/>
      <c r="I245" s="1743"/>
      <c r="J245" s="1777"/>
      <c r="K245" s="1782"/>
      <c r="L245" s="1866" t="s">
        <v>324</v>
      </c>
      <c r="M245" s="345"/>
      <c r="N245" s="338"/>
      <c r="O245" s="1628"/>
      <c r="P245" s="1628"/>
      <c r="AH245" s="1635">
        <v>0</v>
      </c>
    </row>
    <row s="1639" customFormat="1" customHeight="1" ht="18.75" hidden="1">
      <c r="A246" s="1784"/>
      <c r="B246" s="1784"/>
      <c r="C246" s="373" t="s">
        <v>1463</v>
      </c>
      <c r="D246" s="2466"/>
      <c r="E246" s="2208"/>
      <c r="F246" s="2387"/>
      <c r="G246" s="2431"/>
      <c r="H246" s="1504"/>
      <c r="I246" s="655" t="s">
        <v>1462</v>
      </c>
      <c r="J246" s="575"/>
      <c r="K246" s="1504"/>
      <c r="L246" s="218"/>
      <c r="M246" s="345"/>
      <c r="N246" s="338"/>
      <c r="O246" s="1628"/>
      <c r="P246" s="1628"/>
      <c r="AH246" s="1635">
        <v>0</v>
      </c>
    </row>
    <row s="1639" customFormat="1" customHeight="1" ht="0.75" hidden="1">
      <c r="A247" s="1784"/>
      <c r="B247" s="1784"/>
      <c r="C247" s="373" t="s">
        <v>1470</v>
      </c>
      <c r="D247" s="2466"/>
      <c r="E247" s="2208"/>
      <c r="F247" s="2387"/>
      <c r="G247" s="404"/>
      <c r="H247" s="1504"/>
      <c r="I247" s="655"/>
      <c r="J247" s="575"/>
      <c r="K247" s="1504"/>
      <c r="L247" s="218"/>
      <c r="M247" s="345"/>
      <c r="N247" s="338"/>
      <c r="O247" s="1628"/>
      <c r="P247" s="1628"/>
      <c r="AH247" s="1635">
        <v>0</v>
      </c>
    </row>
    <row s="1639" customFormat="1" customHeight="1" ht="18.75" hidden="1">
      <c r="A248" s="1784" t="s">
        <v>263</v>
      </c>
      <c r="B248" s="1784" t="s">
        <v>264</v>
      </c>
      <c r="C248" s="373"/>
      <c r="D248" s="2466"/>
      <c r="E248" s="2208"/>
      <c r="F248" s="238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1" t="str">
        <f>INDEX(PT_DIFFERENTIATION_NTAR,MATCH(B248,PT_DIFFERENTIATION_NTAR_ID,0))</f>
        <v/>
      </c>
      <c r="H248" s="1866"/>
      <c r="I248" s="1743"/>
      <c r="J248" s="1777"/>
      <c r="K248" s="1782"/>
      <c r="L248" s="1866" t="s">
        <v>324</v>
      </c>
      <c r="M248" s="345"/>
      <c r="N248" s="338"/>
      <c r="O248" s="1628"/>
      <c r="P248" s="1628"/>
      <c r="AH248" s="1635">
        <v>0</v>
      </c>
    </row>
    <row s="1639" customFormat="1" customHeight="1" ht="18.75" hidden="1">
      <c r="A249" s="1784"/>
      <c r="B249" s="1784"/>
      <c r="C249" s="373" t="s">
        <v>1463</v>
      </c>
      <c r="D249" s="2466"/>
      <c r="E249" s="2208"/>
      <c r="F249" s="2387"/>
      <c r="G249" s="2431"/>
      <c r="H249" s="1504"/>
      <c r="I249" s="655" t="s">
        <v>1462</v>
      </c>
      <c r="J249" s="575"/>
      <c r="K249" s="1504"/>
      <c r="L249" s="218"/>
      <c r="M249" s="345"/>
      <c r="N249" s="338"/>
      <c r="O249" s="1628"/>
      <c r="P249" s="1628"/>
      <c r="AH249" s="1635">
        <v>0</v>
      </c>
    </row>
    <row s="1639" customFormat="1" customHeight="1" ht="0.75" hidden="1">
      <c r="A250" s="1784"/>
      <c r="B250" s="1784"/>
      <c r="C250" s="373" t="s">
        <v>1470</v>
      </c>
      <c r="D250" s="2466"/>
      <c r="E250" s="2208"/>
      <c r="F250" s="2387"/>
      <c r="G250" s="404"/>
      <c r="H250" s="1504"/>
      <c r="I250" s="655"/>
      <c r="J250" s="575"/>
      <c r="K250" s="1504"/>
      <c r="L250" s="218"/>
      <c r="M250" s="345"/>
      <c r="N250" s="338"/>
      <c r="O250" s="1628"/>
      <c r="P250" s="1628"/>
      <c r="AH250" s="1635">
        <v>0</v>
      </c>
    </row>
    <row s="1639" customFormat="1" customHeight="1" ht="18.75" hidden="1">
      <c r="A251" s="1784" t="s">
        <v>268</v>
      </c>
      <c r="B251" s="1784" t="s">
        <v>269</v>
      </c>
      <c r="C251" s="373"/>
      <c r="D251" s="2466"/>
      <c r="E251" s="2208"/>
      <c r="F251" s="2387" t="str">
        <f>INDEX(PT_DIFFERENTIATION_VTAR,MATCH(A251,PT_DIFFERENTIATION_VTAR_ID,0))</f>
        <v>Тариф на горячую воду (горячее водоснабжение)</v>
      </c>
      <c r="G251" s="2431" t="str">
        <f>INDEX(PT_DIFFERENTIATION_NTAR,MATCH(B251,PT_DIFFERENTIATION_NTAR_ID,0))</f>
        <v/>
      </c>
      <c r="H251" s="1866"/>
      <c r="I251" s="1743"/>
      <c r="J251" s="1777"/>
      <c r="K251" s="1782"/>
      <c r="L251" s="1866" t="s">
        <v>324</v>
      </c>
      <c r="M251" s="345"/>
      <c r="N251" s="338"/>
      <c r="O251" s="1628"/>
      <c r="P251" s="1628"/>
      <c r="AH251" s="1635">
        <v>0</v>
      </c>
    </row>
    <row s="1639" customFormat="1" customHeight="1" ht="18.75" hidden="1">
      <c r="A252" s="1784"/>
      <c r="B252" s="1784"/>
      <c r="C252" s="373" t="s">
        <v>1463</v>
      </c>
      <c r="D252" s="2466"/>
      <c r="E252" s="2208"/>
      <c r="F252" s="2387"/>
      <c r="G252" s="2431"/>
      <c r="H252" s="1504"/>
      <c r="I252" s="655" t="s">
        <v>1462</v>
      </c>
      <c r="J252" s="575"/>
      <c r="K252" s="1504"/>
      <c r="L252" s="218"/>
      <c r="M252" s="345"/>
      <c r="N252" s="338"/>
      <c r="O252" s="1628"/>
      <c r="P252" s="1628"/>
      <c r="AH252" s="1635">
        <v>0</v>
      </c>
    </row>
    <row s="1639" customFormat="1" customHeight="1" ht="0.75" hidden="1">
      <c r="A253" s="1784"/>
      <c r="B253" s="1784"/>
      <c r="C253" s="373" t="s">
        <v>1470</v>
      </c>
      <c r="D253" s="2466"/>
      <c r="E253" s="2208"/>
      <c r="F253" s="2387"/>
      <c r="G253" s="404"/>
      <c r="H253" s="1504"/>
      <c r="I253" s="655"/>
      <c r="J253" s="575"/>
      <c r="K253" s="1504"/>
      <c r="L253" s="218"/>
      <c r="M253" s="345"/>
      <c r="N253" s="338"/>
      <c r="O253" s="1628"/>
      <c r="P253" s="1628"/>
      <c r="AH253" s="1635">
        <v>0</v>
      </c>
    </row>
    <row s="1639" customFormat="1" customHeight="1" ht="18.75" hidden="1">
      <c r="A254" s="1784" t="s">
        <v>273</v>
      </c>
      <c r="B254" s="1784" t="s">
        <v>274</v>
      </c>
      <c r="C254" s="373"/>
      <c r="D254" s="2466"/>
      <c r="E254" s="2208"/>
      <c r="F254" s="2387" t="str">
        <f>INDEX(PT_DIFFERENTIATION_VTAR,MATCH(A254,PT_DIFFERENTIATION_VTAR_ID,0))</f>
        <v>Тариф на транспортировку горячей воды</v>
      </c>
      <c r="G254" s="2431" t="str">
        <f>INDEX(PT_DIFFERENTIATION_NTAR,MATCH(B254,PT_DIFFERENTIATION_NTAR_ID,0))</f>
        <v/>
      </c>
      <c r="H254" s="1866"/>
      <c r="I254" s="1743"/>
      <c r="J254" s="1777"/>
      <c r="K254" s="1782"/>
      <c r="L254" s="1866" t="s">
        <v>324</v>
      </c>
      <c r="M254" s="345"/>
      <c r="N254" s="338"/>
      <c r="O254" s="1628"/>
      <c r="P254" s="1628"/>
      <c r="AH254" s="1635">
        <v>0</v>
      </c>
    </row>
    <row s="1639" customFormat="1" customHeight="1" ht="18.75" hidden="1">
      <c r="A255" s="1784"/>
      <c r="B255" s="1784"/>
      <c r="C255" s="373" t="s">
        <v>1463</v>
      </c>
      <c r="D255" s="2466"/>
      <c r="E255" s="2208"/>
      <c r="F255" s="2387"/>
      <c r="G255" s="2431"/>
      <c r="H255" s="1504"/>
      <c r="I255" s="655" t="s">
        <v>1462</v>
      </c>
      <c r="J255" s="575"/>
      <c r="K255" s="1504"/>
      <c r="L255" s="218"/>
      <c r="M255" s="345"/>
      <c r="N255" s="338"/>
      <c r="O255" s="1628"/>
      <c r="P255" s="1628"/>
      <c r="AH255" s="1635">
        <v>0</v>
      </c>
    </row>
    <row s="1639" customFormat="1" customHeight="1" ht="0.75" hidden="1">
      <c r="A256" s="1784"/>
      <c r="B256" s="1784"/>
      <c r="C256" s="373" t="s">
        <v>1470</v>
      </c>
      <c r="D256" s="2466"/>
      <c r="E256" s="2208"/>
      <c r="F256" s="2387"/>
      <c r="G256" s="404"/>
      <c r="H256" s="1504"/>
      <c r="I256" s="655"/>
      <c r="J256" s="575"/>
      <c r="K256" s="1504"/>
      <c r="L256" s="218"/>
      <c r="M256" s="345"/>
      <c r="N256" s="338"/>
      <c r="O256" s="1628"/>
      <c r="P256" s="1628"/>
      <c r="AH256" s="1635">
        <v>0</v>
      </c>
    </row>
    <row s="1639" customFormat="1" customHeight="1" ht="18.75" hidden="1">
      <c r="A257" s="1784" t="s">
        <v>278</v>
      </c>
      <c r="B257" s="1784" t="s">
        <v>279</v>
      </c>
      <c r="C257" s="373"/>
      <c r="D257" s="2466"/>
      <c r="E257" s="2208"/>
      <c r="F257" s="238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1" t="str">
        <f>INDEX(PT_DIFFERENTIATION_NTAR,MATCH(B257,PT_DIFFERENTIATION_NTAR_ID,0))</f>
        <v/>
      </c>
      <c r="H257" s="1866"/>
      <c r="I257" s="1743"/>
      <c r="J257" s="1777"/>
      <c r="K257" s="1782"/>
      <c r="L257" s="1866" t="s">
        <v>324</v>
      </c>
      <c r="M257" s="345"/>
      <c r="N257" s="338"/>
      <c r="O257" s="1628"/>
      <c r="P257" s="1628"/>
      <c r="AH257" s="1635">
        <v>0</v>
      </c>
    </row>
    <row s="1639" customFormat="1" customHeight="1" ht="18.75" hidden="1">
      <c r="A258" s="1784"/>
      <c r="B258" s="1784"/>
      <c r="C258" s="373" t="s">
        <v>1463</v>
      </c>
      <c r="D258" s="2466"/>
      <c r="E258" s="2208"/>
      <c r="F258" s="2387"/>
      <c r="G258" s="2431"/>
      <c r="H258" s="1504"/>
      <c r="I258" s="655" t="s">
        <v>1462</v>
      </c>
      <c r="J258" s="575"/>
      <c r="K258" s="1504"/>
      <c r="L258" s="218"/>
      <c r="M258" s="345"/>
      <c r="N258" s="338"/>
      <c r="O258" s="1628"/>
      <c r="P258" s="1628"/>
      <c r="AH258" s="1635">
        <v>0</v>
      </c>
    </row>
    <row s="1639" customFormat="1" customHeight="1" ht="0.75" hidden="1">
      <c r="A259" s="1784"/>
      <c r="B259" s="1784"/>
      <c r="C259" s="373" t="s">
        <v>1470</v>
      </c>
      <c r="D259" s="2466"/>
      <c r="E259" s="2208"/>
      <c r="F259" s="2387"/>
      <c r="G259" s="404"/>
      <c r="H259" s="1504"/>
      <c r="I259" s="655"/>
      <c r="J259" s="575"/>
      <c r="K259" s="1504"/>
      <c r="L259" s="218"/>
      <c r="M259" s="345"/>
      <c r="N259" s="338"/>
      <c r="O259" s="1628"/>
      <c r="P259" s="1628"/>
      <c r="AH259" s="1635">
        <v>0</v>
      </c>
    </row>
    <row s="1639" customFormat="1" customHeight="1" ht="18.75" hidden="1">
      <c r="A260" s="1784" t="s">
        <v>283</v>
      </c>
      <c r="B260" s="1784" t="s">
        <v>284</v>
      </c>
      <c r="C260" s="373"/>
      <c r="D260" s="2466"/>
      <c r="E260" s="2208"/>
      <c r="F260" s="2387" t="str">
        <f>INDEX(PT_DIFFERENTIATION_VTAR,MATCH(A260,PT_DIFFERENTIATION_VTAR_ID,0))</f>
        <v>Тариф на водоотведение</v>
      </c>
      <c r="G260" s="2431" t="str">
        <f>INDEX(PT_DIFFERENTIATION_NTAR,MATCH(B260,PT_DIFFERENTIATION_NTAR_ID,0))</f>
        <v/>
      </c>
      <c r="H260" s="1866"/>
      <c r="I260" s="1743"/>
      <c r="J260" s="1777"/>
      <c r="K260" s="1782"/>
      <c r="L260" s="1866" t="s">
        <v>324</v>
      </c>
      <c r="M260" s="345"/>
      <c r="N260" s="338"/>
      <c r="O260" s="1628"/>
      <c r="P260" s="1628"/>
      <c r="AH260" s="1635">
        <v>0</v>
      </c>
    </row>
    <row s="1639" customFormat="1" customHeight="1" ht="18.75" hidden="1">
      <c r="A261" s="1784"/>
      <c r="B261" s="1784"/>
      <c r="C261" s="373" t="s">
        <v>1463</v>
      </c>
      <c r="D261" s="2466"/>
      <c r="E261" s="2208"/>
      <c r="F261" s="2387"/>
      <c r="G261" s="2431"/>
      <c r="H261" s="1504"/>
      <c r="I261" s="655" t="s">
        <v>1462</v>
      </c>
      <c r="J261" s="575"/>
      <c r="K261" s="1504"/>
      <c r="L261" s="218"/>
      <c r="M261" s="345"/>
      <c r="N261" s="338"/>
      <c r="O261" s="1628"/>
      <c r="P261" s="1628"/>
      <c r="AH261" s="1635">
        <v>0</v>
      </c>
    </row>
    <row s="1639" customFormat="1" customHeight="1" ht="0.75" hidden="1">
      <c r="A262" s="1784"/>
      <c r="B262" s="1784"/>
      <c r="C262" s="373" t="s">
        <v>1470</v>
      </c>
      <c r="D262" s="2466"/>
      <c r="E262" s="2208"/>
      <c r="F262" s="2387"/>
      <c r="G262" s="404"/>
      <c r="H262" s="1504"/>
      <c r="I262" s="655"/>
      <c r="J262" s="575"/>
      <c r="K262" s="1504"/>
      <c r="L262" s="218"/>
      <c r="M262" s="345"/>
      <c r="N262" s="338"/>
      <c r="O262" s="1628"/>
      <c r="P262" s="1628"/>
      <c r="AH262" s="1635">
        <v>0</v>
      </c>
    </row>
    <row s="1639" customFormat="1" customHeight="1" ht="18.75" hidden="1">
      <c r="A263" s="1784" t="s">
        <v>288</v>
      </c>
      <c r="B263" s="1784" t="s">
        <v>289</v>
      </c>
      <c r="C263" s="373"/>
      <c r="D263" s="2466"/>
      <c r="E263" s="2208"/>
      <c r="F263" s="2387" t="str">
        <f>INDEX(PT_DIFFERENTIATION_VTAR,MATCH(A263,PT_DIFFERENTIATION_VTAR_ID,0))</f>
        <v>Тариф на транспортировку сточных вод</v>
      </c>
      <c r="G263" s="2431" t="str">
        <f>INDEX(PT_DIFFERENTIATION_NTAR,MATCH(B263,PT_DIFFERENTIATION_NTAR_ID,0))</f>
        <v/>
      </c>
      <c r="H263" s="1866"/>
      <c r="I263" s="1743"/>
      <c r="J263" s="1777"/>
      <c r="K263" s="1782"/>
      <c r="L263" s="1866" t="s">
        <v>324</v>
      </c>
      <c r="M263" s="345"/>
      <c r="N263" s="338"/>
      <c r="O263" s="1628"/>
      <c r="P263" s="1628"/>
      <c r="AH263" s="1635">
        <v>0</v>
      </c>
    </row>
    <row s="1639" customFormat="1" customHeight="1" ht="18.75" hidden="1">
      <c r="A264" s="1784"/>
      <c r="B264" s="1784"/>
      <c r="C264" s="373" t="s">
        <v>1463</v>
      </c>
      <c r="D264" s="2466"/>
      <c r="E264" s="2208"/>
      <c r="F264" s="2387"/>
      <c r="G264" s="2431"/>
      <c r="H264" s="1504"/>
      <c r="I264" s="655" t="s">
        <v>1462</v>
      </c>
      <c r="J264" s="575"/>
      <c r="K264" s="1504"/>
      <c r="L264" s="218"/>
      <c r="M264" s="345"/>
      <c r="N264" s="338"/>
      <c r="O264" s="1628"/>
      <c r="P264" s="1628"/>
      <c r="AH264" s="1635">
        <v>0</v>
      </c>
    </row>
    <row s="1639" customFormat="1" customHeight="1" ht="0.75" hidden="1">
      <c r="A265" s="1784"/>
      <c r="B265" s="1784"/>
      <c r="C265" s="373" t="s">
        <v>1470</v>
      </c>
      <c r="D265" s="2466"/>
      <c r="E265" s="2208"/>
      <c r="F265" s="2387"/>
      <c r="G265" s="404"/>
      <c r="H265" s="1504"/>
      <c r="I265" s="655"/>
      <c r="J265" s="575"/>
      <c r="K265" s="1504"/>
      <c r="L265" s="218"/>
      <c r="M265" s="345"/>
      <c r="N265" s="338"/>
      <c r="O265" s="1628"/>
      <c r="P265" s="1628"/>
      <c r="AH265" s="1635">
        <v>0</v>
      </c>
    </row>
    <row s="1639" customFormat="1" customHeight="1" ht="18.75" hidden="1">
      <c r="A266" s="1784" t="s">
        <v>293</v>
      </c>
      <c r="B266" s="1784" t="s">
        <v>294</v>
      </c>
      <c r="C266" s="373"/>
      <c r="D266" s="2466"/>
      <c r="E266" s="2208"/>
      <c r="F266" s="2387" t="str">
        <f>INDEX(PT_DIFFERENTIATION_VTAR,MATCH(A266,PT_DIFFERENTIATION_VTAR_ID,0))</f>
        <v>Тариф на подключение (технологическое присоединение) к централизованной системе водоотведения</v>
      </c>
      <c r="G266" s="2431" t="str">
        <f>INDEX(PT_DIFFERENTIATION_NTAR,MATCH(B266,PT_DIFFERENTIATION_NTAR_ID,0))</f>
        <v/>
      </c>
      <c r="H266" s="1866"/>
      <c r="I266" s="1743"/>
      <c r="J266" s="1777"/>
      <c r="K266" s="1782"/>
      <c r="L266" s="1866" t="s">
        <v>324</v>
      </c>
      <c r="M266" s="345"/>
      <c r="N266" s="338"/>
      <c r="O266" s="1628"/>
      <c r="P266" s="1628"/>
      <c r="AH266" s="1635">
        <v>0</v>
      </c>
    </row>
    <row s="1639" customFormat="1" customHeight="1" ht="18.75" hidden="1">
      <c r="A267" s="1784"/>
      <c r="B267" s="1784"/>
      <c r="C267" s="373" t="s">
        <v>1463</v>
      </c>
      <c r="D267" s="2466"/>
      <c r="E267" s="2208"/>
      <c r="F267" s="2387"/>
      <c r="G267" s="2431"/>
      <c r="H267" s="1504"/>
      <c r="I267" s="655" t="s">
        <v>1462</v>
      </c>
      <c r="J267" s="575"/>
      <c r="K267" s="1504"/>
      <c r="L267" s="218"/>
      <c r="M267" s="345"/>
      <c r="N267" s="338"/>
      <c r="O267" s="1628"/>
      <c r="P267" s="1628"/>
      <c r="AH267" s="1635">
        <v>0</v>
      </c>
    </row>
    <row s="1639" customFormat="1" customHeight="1" ht="1.05">
      <c r="A268" s="1784"/>
      <c r="B268" s="1784"/>
      <c r="C268" s="373" t="s">
        <v>1470</v>
      </c>
      <c r="D268" s="2466"/>
      <c r="E268" s="2208"/>
      <c r="F268" s="2387"/>
      <c r="G268" s="404"/>
      <c r="H268" s="1504"/>
      <c r="I268" s="655"/>
      <c r="J268" s="575"/>
      <c r="K268" s="1504"/>
      <c r="L268" s="218"/>
      <c r="M268" s="345"/>
      <c r="N268" s="338"/>
      <c r="O268" s="1628"/>
      <c r="P268" s="1628"/>
      <c r="AH268" s="1635">
        <v>1</v>
      </c>
    </row>
    <row customHeight="1" ht="27.299999999999997">
      <c r="A269" s="1784"/>
      <c r="B269" s="1784"/>
      <c r="D269" s="380"/>
      <c r="E269" s="151" t="s">
        <v>92</v>
      </c>
      <c r="F269" s="2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4"/>
      <c r="H269" s="2464"/>
      <c r="I269" s="2464"/>
      <c r="J269" s="2464"/>
      <c r="K269" s="2464"/>
      <c r="L269" s="2464"/>
      <c r="M269" s="301"/>
      <c r="N269" s="338"/>
      <c r="AH269" s="378">
        <v>26</v>
      </c>
    </row>
    <row s="1639" customFormat="1" customHeight="1" ht="60.75" hidden="1">
      <c r="A270" s="1784" t="s">
        <v>175</v>
      </c>
      <c r="B270" s="1784" t="s">
        <v>176</v>
      </c>
      <c r="C270" s="373"/>
      <c r="D270" s="2466"/>
      <c r="E270" s="2208"/>
      <c r="F270" s="238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1" t="str">
        <f>INDEX(PT_DIFFERENTIATION_NTAR,MATCH(B270,PT_DIFFERENTIATION_NTAR_ID,0))</f>
        <v/>
      </c>
      <c r="H270" s="1866"/>
      <c r="I270" s="1743"/>
      <c r="J270" s="1777"/>
      <c r="K270" s="1782"/>
      <c r="L270" s="1866" t="s">
        <v>324</v>
      </c>
      <c r="M270"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8"/>
      <c r="O270" s="1628"/>
      <c r="P270" s="1628"/>
      <c r="AH270" s="1635">
        <v>0</v>
      </c>
    </row>
    <row s="1639" customFormat="1" customHeight="1" ht="18.75" hidden="1">
      <c r="A271" s="1784"/>
      <c r="B271" s="1784"/>
      <c r="C271" s="373" t="s">
        <v>1463</v>
      </c>
      <c r="D271" s="2466"/>
      <c r="E271" s="2208"/>
      <c r="F271" s="2387"/>
      <c r="G271" s="2431"/>
      <c r="H271" s="1504"/>
      <c r="I271" s="655" t="s">
        <v>1462</v>
      </c>
      <c r="J271" s="575"/>
      <c r="K271" s="1504"/>
      <c r="L271" s="218"/>
      <c r="M271" s="2174"/>
      <c r="N271" s="338"/>
      <c r="O271" s="1628"/>
      <c r="P271" s="1628"/>
      <c r="AH271" s="1635">
        <v>0</v>
      </c>
    </row>
    <row s="1639" customFormat="1" customHeight="1" ht="0.75" hidden="1">
      <c r="A272" s="1784"/>
      <c r="B272" s="1784"/>
      <c r="C272" s="373" t="s">
        <v>1470</v>
      </c>
      <c r="D272" s="2466"/>
      <c r="E272" s="2208"/>
      <c r="F272" s="2387"/>
      <c r="G272" s="404"/>
      <c r="H272" s="1504"/>
      <c r="I272" s="655"/>
      <c r="J272" s="575"/>
      <c r="K272" s="1504"/>
      <c r="L272" s="218"/>
      <c r="M272" s="2174"/>
      <c r="N272" s="338"/>
      <c r="O272" s="1628"/>
      <c r="P272" s="1628"/>
      <c r="AH272" s="1635">
        <v>0</v>
      </c>
    </row>
    <row s="1639" customFormat="1" customHeight="1" ht="45" hidden="1">
      <c r="A273" s="1784" t="s">
        <v>180</v>
      </c>
      <c r="B273" s="1784" t="s">
        <v>181</v>
      </c>
      <c r="C273" s="373"/>
      <c r="D273" s="2466"/>
      <c r="E273" s="2208"/>
      <c r="F273" s="2387" t="str">
        <f>INDEX(PT_DIFFERENTIATION_VTAR,MATCH(A273,PT_DIFFERENTIATION_VTAR_ID,0))</f>
        <v/>
      </c>
      <c r="G273" s="2431" t="str">
        <f>INDEX(PT_DIFFERENTIATION_NTAR,MATCH(B273,PT_DIFFERENTIATION_NTAR_ID,0))</f>
        <v/>
      </c>
      <c r="H273" s="1866"/>
      <c r="I273" s="1743"/>
      <c r="J273" s="1777"/>
      <c r="K273" s="1782"/>
      <c r="L273" s="1866" t="s">
        <v>324</v>
      </c>
      <c r="M273" s="2175"/>
      <c r="N273" s="338"/>
      <c r="O273" s="1628"/>
      <c r="P273" s="1628"/>
      <c r="AH273" s="1635">
        <v>0</v>
      </c>
    </row>
    <row s="1639" customFormat="1" customHeight="1" ht="18.75" hidden="1">
      <c r="A274" s="1784"/>
      <c r="B274" s="1784"/>
      <c r="C274" s="373" t="s">
        <v>1463</v>
      </c>
      <c r="D274" s="2466"/>
      <c r="E274" s="2208"/>
      <c r="F274" s="2387"/>
      <c r="G274" s="2431"/>
      <c r="H274" s="1504"/>
      <c r="I274" s="655" t="s">
        <v>1462</v>
      </c>
      <c r="J274" s="575"/>
      <c r="K274" s="1504"/>
      <c r="L274" s="218"/>
      <c r="M274" s="1865"/>
      <c r="N274" s="338"/>
      <c r="O274" s="1628"/>
      <c r="P274" s="1628"/>
      <c r="AH274" s="1635">
        <v>0</v>
      </c>
    </row>
    <row s="1639" customFormat="1" customHeight="1" ht="0.75" hidden="1">
      <c r="A275" s="1784"/>
      <c r="B275" s="1784"/>
      <c r="C275" s="373" t="s">
        <v>1470</v>
      </c>
      <c r="D275" s="2466"/>
      <c r="E275" s="2208"/>
      <c r="F275" s="2387"/>
      <c r="G275" s="404"/>
      <c r="H275" s="1504"/>
      <c r="I275" s="655"/>
      <c r="J275" s="575"/>
      <c r="K275" s="1504"/>
      <c r="L275" s="218"/>
      <c r="M275" s="345"/>
      <c r="N275" s="338"/>
      <c r="O275" s="1628"/>
      <c r="P275" s="1628"/>
      <c r="AH275" s="1635">
        <v>0</v>
      </c>
    </row>
    <row s="1639" customFormat="1" customHeight="1" ht="45" hidden="1">
      <c r="A276" s="1784" t="s">
        <v>187</v>
      </c>
      <c r="B276" s="1784" t="s">
        <v>188</v>
      </c>
      <c r="C276" s="373"/>
      <c r="D276" s="2466"/>
      <c r="E276" s="2208"/>
      <c r="F276" s="238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1" t="str">
        <f>INDEX(PT_DIFFERENTIATION_NTAR,MATCH(B276,PT_DIFFERENTIATION_NTAR_ID,0))</f>
        <v/>
      </c>
      <c r="H276" s="1866"/>
      <c r="I276" s="1743"/>
      <c r="J276" s="1777"/>
      <c r="K276" s="1782"/>
      <c r="L276" s="1866" t="s">
        <v>324</v>
      </c>
      <c r="M276" s="345"/>
      <c r="N276" s="338"/>
      <c r="O276" s="1628"/>
      <c r="P276" s="1628"/>
      <c r="AH276" s="1635">
        <v>0</v>
      </c>
    </row>
    <row s="1639" customFormat="1" customHeight="1" ht="18.75" hidden="1">
      <c r="A277" s="1784"/>
      <c r="B277" s="1784"/>
      <c r="C277" s="373" t="s">
        <v>1463</v>
      </c>
      <c r="D277" s="2466"/>
      <c r="E277" s="2208"/>
      <c r="F277" s="2387"/>
      <c r="G277" s="2431"/>
      <c r="H277" s="1504"/>
      <c r="I277" s="655" t="s">
        <v>1462</v>
      </c>
      <c r="J277" s="575"/>
      <c r="K277" s="1504"/>
      <c r="L277" s="218"/>
      <c r="M277" s="345"/>
      <c r="N277" s="338"/>
      <c r="O277" s="1628"/>
      <c r="P277" s="1628"/>
      <c r="AH277" s="1635">
        <v>0</v>
      </c>
    </row>
    <row s="1639" customFormat="1" customHeight="1" ht="0.75" hidden="1">
      <c r="A278" s="1784"/>
      <c r="B278" s="1784"/>
      <c r="C278" s="373" t="s">
        <v>1470</v>
      </c>
      <c r="D278" s="2466"/>
      <c r="E278" s="2208"/>
      <c r="F278" s="2387"/>
      <c r="G278" s="404"/>
      <c r="H278" s="1504"/>
      <c r="I278" s="655"/>
      <c r="J278" s="575"/>
      <c r="K278" s="1504"/>
      <c r="L278" s="218"/>
      <c r="M278" s="345"/>
      <c r="N278" s="338"/>
      <c r="O278" s="1628"/>
      <c r="P278" s="1628"/>
      <c r="AH278" s="1635">
        <v>0</v>
      </c>
    </row>
    <row s="1639" customFormat="1" customHeight="1" ht="45" hidden="1">
      <c r="A279" s="1784" t="s">
        <v>193</v>
      </c>
      <c r="B279" s="1784" t="s">
        <v>194</v>
      </c>
      <c r="C279" s="373"/>
      <c r="D279" s="2466"/>
      <c r="E279" s="2208"/>
      <c r="F279" s="238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1" t="str">
        <f>INDEX(PT_DIFFERENTIATION_NTAR,MATCH(B279,PT_DIFFERENTIATION_NTAR_ID,0))</f>
        <v/>
      </c>
      <c r="H279" s="1866"/>
      <c r="I279" s="1743"/>
      <c r="J279" s="1777"/>
      <c r="K279" s="1782"/>
      <c r="L279" s="1866" t="s">
        <v>324</v>
      </c>
      <c r="M279" s="345"/>
      <c r="N279" s="338"/>
      <c r="O279" s="1628"/>
      <c r="P279" s="1628"/>
      <c r="AH279" s="1635">
        <v>0</v>
      </c>
    </row>
    <row s="1639" customFormat="1" customHeight="1" ht="18.75" hidden="1">
      <c r="A280" s="1784"/>
      <c r="B280" s="1784"/>
      <c r="C280" s="373" t="s">
        <v>1463</v>
      </c>
      <c r="D280" s="2466"/>
      <c r="E280" s="2208"/>
      <c r="F280" s="2387"/>
      <c r="G280" s="2431"/>
      <c r="H280" s="1504"/>
      <c r="I280" s="655" t="s">
        <v>1462</v>
      </c>
      <c r="J280" s="575"/>
      <c r="K280" s="1504"/>
      <c r="L280" s="218"/>
      <c r="M280" s="345"/>
      <c r="N280" s="338"/>
      <c r="O280" s="1628"/>
      <c r="P280" s="1628"/>
      <c r="AH280" s="1635">
        <v>0</v>
      </c>
    </row>
    <row s="1639" customFormat="1" customHeight="1" ht="0.75" hidden="1">
      <c r="A281" s="1784"/>
      <c r="B281" s="1784"/>
      <c r="C281" s="373" t="s">
        <v>1470</v>
      </c>
      <c r="D281" s="2466"/>
      <c r="E281" s="2208"/>
      <c r="F281" s="2387"/>
      <c r="G281" s="404"/>
      <c r="H281" s="1504"/>
      <c r="I281" s="655"/>
      <c r="J281" s="575"/>
      <c r="K281" s="1504"/>
      <c r="L281" s="218"/>
      <c r="M281" s="345"/>
      <c r="N281" s="338"/>
      <c r="O281" s="1628"/>
      <c r="P281" s="1628"/>
      <c r="AH281" s="1635">
        <v>0</v>
      </c>
    </row>
    <row s="1639" customFormat="1" customHeight="1" ht="18.75" hidden="1">
      <c r="A282" s="1784" t="s">
        <v>199</v>
      </c>
      <c r="B282" s="1784" t="s">
        <v>200</v>
      </c>
      <c r="C282" s="373"/>
      <c r="D282" s="2466"/>
      <c r="E282" s="2208"/>
      <c r="F282" s="2387" t="str">
        <f>INDEX(PT_DIFFERENTIATION_VTAR,MATCH(A282,PT_DIFFERENTIATION_VTAR_ID,0))</f>
        <v>Тарифы на услуги по передаче тепловой энергии</v>
      </c>
      <c r="G282" s="2431" t="str">
        <f>INDEX(PT_DIFFERENTIATION_NTAR,MATCH(B282,PT_DIFFERENTIATION_NTAR_ID,0))</f>
        <v/>
      </c>
      <c r="H282" s="1866"/>
      <c r="I282" s="1743"/>
      <c r="J282" s="1777"/>
      <c r="K282" s="1782"/>
      <c r="L282" s="1866" t="s">
        <v>324</v>
      </c>
      <c r="M282" s="345"/>
      <c r="N282" s="338"/>
      <c r="O282" s="1628"/>
      <c r="P282" s="1628"/>
      <c r="AH282" s="1635">
        <v>0</v>
      </c>
    </row>
    <row s="1639" customFormat="1" customHeight="1" ht="18.75" hidden="1">
      <c r="A283" s="1784"/>
      <c r="B283" s="1784"/>
      <c r="C283" s="373" t="s">
        <v>1463</v>
      </c>
      <c r="D283" s="2466"/>
      <c r="E283" s="2208"/>
      <c r="F283" s="2387"/>
      <c r="G283" s="2431"/>
      <c r="H283" s="1504"/>
      <c r="I283" s="655" t="s">
        <v>1462</v>
      </c>
      <c r="J283" s="575"/>
      <c r="K283" s="1504"/>
      <c r="L283" s="218"/>
      <c r="M283" s="345"/>
      <c r="N283" s="338"/>
      <c r="O283" s="1628"/>
      <c r="P283" s="1628"/>
      <c r="AH283" s="1635">
        <v>0</v>
      </c>
    </row>
    <row s="1639" customFormat="1" customHeight="1" ht="0.75" hidden="1">
      <c r="A284" s="1784"/>
      <c r="B284" s="1784"/>
      <c r="C284" s="373" t="s">
        <v>1470</v>
      </c>
      <c r="D284" s="2466"/>
      <c r="E284" s="2208"/>
      <c r="F284" s="2387"/>
      <c r="G284" s="404"/>
      <c r="H284" s="1504"/>
      <c r="I284" s="655"/>
      <c r="J284" s="575"/>
      <c r="K284" s="1504"/>
      <c r="L284" s="218"/>
      <c r="M284" s="345"/>
      <c r="N284" s="338"/>
      <c r="O284" s="1628"/>
      <c r="P284" s="1628"/>
      <c r="AH284" s="1635">
        <v>0</v>
      </c>
    </row>
    <row s="1639" customFormat="1" customHeight="1" ht="18.75" hidden="1">
      <c r="A285" s="1784" t="s">
        <v>205</v>
      </c>
      <c r="B285" s="1784" t="s">
        <v>206</v>
      </c>
      <c r="C285" s="373"/>
      <c r="D285" s="2466"/>
      <c r="E285" s="2208"/>
      <c r="F285" s="2387" t="str">
        <f>INDEX(PT_DIFFERENTIATION_VTAR,MATCH(A285,PT_DIFFERENTIATION_VTAR_ID,0))</f>
        <v>Тарифы на услуги по передаче теплоносителя</v>
      </c>
      <c r="G285" s="2431" t="str">
        <f>INDEX(PT_DIFFERENTIATION_NTAR,MATCH(B285,PT_DIFFERENTIATION_NTAR_ID,0))</f>
        <v/>
      </c>
      <c r="H285" s="1866"/>
      <c r="I285" s="1743"/>
      <c r="J285" s="1777"/>
      <c r="K285" s="1782"/>
      <c r="L285" s="1866" t="s">
        <v>324</v>
      </c>
      <c r="M285" s="345"/>
      <c r="N285" s="338"/>
      <c r="O285" s="1628"/>
      <c r="P285" s="1628"/>
      <c r="AH285" s="1635">
        <v>0</v>
      </c>
    </row>
    <row s="1639" customFormat="1" customHeight="1" ht="18.75" hidden="1">
      <c r="A286" s="1784"/>
      <c r="B286" s="1784"/>
      <c r="C286" s="373" t="s">
        <v>1463</v>
      </c>
      <c r="D286" s="2466"/>
      <c r="E286" s="2208"/>
      <c r="F286" s="2387"/>
      <c r="G286" s="2431"/>
      <c r="H286" s="1504"/>
      <c r="I286" s="655" t="s">
        <v>1462</v>
      </c>
      <c r="J286" s="575"/>
      <c r="K286" s="1504"/>
      <c r="L286" s="218"/>
      <c r="M286" s="345"/>
      <c r="N286" s="338"/>
      <c r="O286" s="1628"/>
      <c r="P286" s="1628"/>
      <c r="AH286" s="1635">
        <v>0</v>
      </c>
    </row>
    <row s="1639" customFormat="1" customHeight="1" ht="0.75" hidden="1">
      <c r="A287" s="1784"/>
      <c r="B287" s="1784"/>
      <c r="C287" s="373" t="s">
        <v>1470</v>
      </c>
      <c r="D287" s="2466"/>
      <c r="E287" s="2208"/>
      <c r="F287" s="2387"/>
      <c r="G287" s="404"/>
      <c r="H287" s="1504"/>
      <c r="I287" s="655"/>
      <c r="J287" s="575"/>
      <c r="K287" s="1504"/>
      <c r="L287" s="218"/>
      <c r="M287" s="345"/>
      <c r="N287" s="338"/>
      <c r="O287" s="1628"/>
      <c r="P287" s="1628"/>
      <c r="AH287" s="1635">
        <v>0</v>
      </c>
    </row>
    <row s="1639" customFormat="1" customHeight="1" ht="18.75" hidden="1">
      <c r="A288" s="1784" t="s">
        <v>211</v>
      </c>
      <c r="B288" s="1784" t="s">
        <v>212</v>
      </c>
      <c r="C288" s="373"/>
      <c r="D288" s="2466"/>
      <c r="E288" s="2208"/>
      <c r="F288" s="238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1" t="str">
        <f>INDEX(PT_DIFFERENTIATION_NTAR,MATCH(B288,PT_DIFFERENTIATION_NTAR_ID,0))</f>
        <v/>
      </c>
      <c r="H288" s="1866"/>
      <c r="I288" s="1743"/>
      <c r="J288" s="1777"/>
      <c r="K288" s="1782"/>
      <c r="L288" s="1866" t="s">
        <v>324</v>
      </c>
      <c r="M288" s="345"/>
      <c r="N288" s="338"/>
      <c r="O288" s="1628"/>
      <c r="P288" s="1628"/>
      <c r="AH288" s="1635">
        <v>0</v>
      </c>
    </row>
    <row s="1639" customFormat="1" customHeight="1" ht="18.75" hidden="1">
      <c r="A289" s="1784"/>
      <c r="B289" s="1784"/>
      <c r="C289" s="373" t="s">
        <v>1463</v>
      </c>
      <c r="D289" s="2466"/>
      <c r="E289" s="2208"/>
      <c r="F289" s="2387"/>
      <c r="G289" s="2431"/>
      <c r="H289" s="1504"/>
      <c r="I289" s="655" t="s">
        <v>1462</v>
      </c>
      <c r="J289" s="575"/>
      <c r="K289" s="1504"/>
      <c r="L289" s="218"/>
      <c r="M289" s="345"/>
      <c r="N289" s="338"/>
      <c r="O289" s="1628"/>
      <c r="P289" s="1628"/>
      <c r="AH289" s="1635">
        <v>0</v>
      </c>
    </row>
    <row s="1639" customFormat="1" customHeight="1" ht="0.75" hidden="1">
      <c r="A290" s="1784"/>
      <c r="B290" s="1784"/>
      <c r="C290" s="373" t="s">
        <v>1470</v>
      </c>
      <c r="D290" s="2466"/>
      <c r="E290" s="2208"/>
      <c r="F290" s="2387"/>
      <c r="G290" s="404"/>
      <c r="H290" s="1504"/>
      <c r="I290" s="655"/>
      <c r="J290" s="575"/>
      <c r="K290" s="1504"/>
      <c r="L290" s="218"/>
      <c r="M290" s="345"/>
      <c r="N290" s="338"/>
      <c r="O290" s="1628"/>
      <c r="P290" s="1628"/>
      <c r="AH290" s="1635">
        <v>0</v>
      </c>
    </row>
    <row s="1639" customFormat="1" customHeight="1" ht="18.75" hidden="1">
      <c r="A291" s="1784" t="s">
        <v>217</v>
      </c>
      <c r="B291" s="1784" t="s">
        <v>218</v>
      </c>
      <c r="C291" s="373"/>
      <c r="D291" s="2466"/>
      <c r="E291" s="2208"/>
      <c r="F291" s="2387" t="str">
        <f>INDEX(PT_DIFFERENTIATION_VTAR,MATCH(A291,PT_DIFFERENTIATION_VTAR_ID,0))</f>
        <v>Плата за подключение (технологическое присоединение) к системе теплоснабжения</v>
      </c>
      <c r="G291" s="2431" t="str">
        <f>INDEX(PT_DIFFERENTIATION_NTAR,MATCH(B291,PT_DIFFERENTIATION_NTAR_ID,0))</f>
        <v/>
      </c>
      <c r="H291" s="1866"/>
      <c r="I291" s="1743"/>
      <c r="J291" s="1777"/>
      <c r="K291" s="1782"/>
      <c r="L291" s="1866" t="s">
        <v>324</v>
      </c>
      <c r="M291" s="345"/>
      <c r="N291" s="338"/>
      <c r="O291" s="1628"/>
      <c r="P291" s="1628"/>
      <c r="AH291" s="1635">
        <v>0</v>
      </c>
    </row>
    <row s="1639" customFormat="1" customHeight="1" ht="18.75" hidden="1">
      <c r="A292" s="1784"/>
      <c r="B292" s="1784"/>
      <c r="C292" s="373" t="s">
        <v>1463</v>
      </c>
      <c r="D292" s="2466"/>
      <c r="E292" s="2208"/>
      <c r="F292" s="2387"/>
      <c r="G292" s="2431"/>
      <c r="H292" s="1504"/>
      <c r="I292" s="655" t="s">
        <v>1462</v>
      </c>
      <c r="J292" s="575"/>
      <c r="K292" s="1504"/>
      <c r="L292" s="218"/>
      <c r="M292" s="345"/>
      <c r="N292" s="338"/>
      <c r="O292" s="1628"/>
      <c r="P292" s="1628"/>
      <c r="AH292" s="1635">
        <v>0</v>
      </c>
    </row>
    <row s="1639" customFormat="1" customHeight="1" ht="0.75" hidden="1">
      <c r="A293" s="1784"/>
      <c r="B293" s="1784"/>
      <c r="C293" s="373" t="s">
        <v>1470</v>
      </c>
      <c r="D293" s="2466"/>
      <c r="E293" s="2208"/>
      <c r="F293" s="2387"/>
      <c r="G293" s="404"/>
      <c r="H293" s="1504"/>
      <c r="I293" s="655"/>
      <c r="J293" s="575"/>
      <c r="K293" s="1504"/>
      <c r="L293" s="218"/>
      <c r="M293" s="345"/>
      <c r="N293" s="338"/>
      <c r="O293" s="1628"/>
      <c r="P293" s="1628"/>
      <c r="AH293" s="1635">
        <v>0</v>
      </c>
    </row>
    <row s="1639" customFormat="1" customHeight="1" ht="18.75" hidden="1">
      <c r="A294" s="1784" t="s">
        <v>223</v>
      </c>
      <c r="B294" s="1784" t="s">
        <v>224</v>
      </c>
      <c r="C294" s="373"/>
      <c r="D294" s="2466"/>
      <c r="E294" s="2208"/>
      <c r="F294" s="2387" t="str">
        <f>INDEX(PT_DIFFERENTIATION_VTAR,MATCH(A294,PT_DIFFERENTIATION_VTAR_ID,0))</f>
        <v>Плата за подключение (технологическое присоединение) к системе теплоснабжения (индивидуальная)</v>
      </c>
      <c r="G294" s="2431" t="str">
        <f>INDEX(PT_DIFFERENTIATION_NTAR,MATCH(B294,PT_DIFFERENTIATION_NTAR_ID,0))</f>
        <v/>
      </c>
      <c r="H294" s="1993"/>
      <c r="I294" s="1743"/>
      <c r="J294" s="1777"/>
      <c r="K294" s="1782"/>
      <c r="L294" s="1993" t="s">
        <v>324</v>
      </c>
      <c r="M294" s="345"/>
      <c r="N294" s="338"/>
      <c r="O294" s="1628"/>
      <c r="P294" s="1628"/>
      <c r="AH294" s="1635">
        <v>0</v>
      </c>
    </row>
    <row s="1639" customFormat="1" customHeight="1" ht="18.75" hidden="1">
      <c r="A295" s="1784"/>
      <c r="B295" s="1784"/>
      <c r="C295" s="373" t="s">
        <v>1463</v>
      </c>
      <c r="D295" s="2466"/>
      <c r="E295" s="2208"/>
      <c r="F295" s="2387"/>
      <c r="G295" s="2431"/>
      <c r="H295" s="1504"/>
      <c r="I295" s="655" t="s">
        <v>1462</v>
      </c>
      <c r="J295" s="575"/>
      <c r="K295" s="1504"/>
      <c r="L295" s="218"/>
      <c r="M295" s="345"/>
      <c r="N295" s="338"/>
      <c r="O295" s="1628"/>
      <c r="P295" s="1628"/>
      <c r="AH295" s="1635">
        <v>0</v>
      </c>
    </row>
    <row s="1639" customFormat="1" customHeight="1" ht="0.75" hidden="1">
      <c r="A296" s="1784"/>
      <c r="B296" s="1784"/>
      <c r="C296" s="373" t="s">
        <v>1470</v>
      </c>
      <c r="D296" s="2466"/>
      <c r="E296" s="2208"/>
      <c r="F296" s="2387"/>
      <c r="G296" s="404"/>
      <c r="H296" s="1504"/>
      <c r="I296" s="655"/>
      <c r="J296" s="575"/>
      <c r="K296" s="1504"/>
      <c r="L296" s="218"/>
      <c r="M296" s="345"/>
      <c r="N296" s="338"/>
      <c r="O296" s="1628"/>
      <c r="P296" s="1628"/>
      <c r="AH296" s="1635">
        <v>0</v>
      </c>
    </row>
    <row s="1639" customFormat="1" customHeight="1" ht="18.75" hidden="1">
      <c r="A297" s="1784" t="s">
        <v>243</v>
      </c>
      <c r="B297" s="1784" t="s">
        <v>244</v>
      </c>
      <c r="C297" s="373"/>
      <c r="D297" s="2466"/>
      <c r="E297" s="2208"/>
      <c r="F297" s="2387" t="str">
        <f>INDEX(PT_DIFFERENTIATION_VTAR,MATCH(A297,PT_DIFFERENTIATION_VTAR_ID,0))</f>
        <v>Тариф на питьевую воду (питьевое водоснабжение)</v>
      </c>
      <c r="G297" s="2431" t="str">
        <f>INDEX(PT_DIFFERENTIATION_NTAR,MATCH(B297,PT_DIFFERENTIATION_NTAR_ID,0))</f>
        <v/>
      </c>
      <c r="H297" s="1866"/>
      <c r="I297" s="1743"/>
      <c r="J297" s="1777"/>
      <c r="K297" s="1782"/>
      <c r="L297" s="1866" t="s">
        <v>324</v>
      </c>
      <c r="M297" s="345"/>
      <c r="N297" s="338"/>
      <c r="O297" s="1628"/>
      <c r="P297" s="1628"/>
      <c r="AH297" s="1635">
        <v>0</v>
      </c>
    </row>
    <row s="1639" customFormat="1" customHeight="1" ht="18.75" hidden="1">
      <c r="A298" s="1784"/>
      <c r="B298" s="1784"/>
      <c r="C298" s="373" t="s">
        <v>1463</v>
      </c>
      <c r="D298" s="2466"/>
      <c r="E298" s="2208"/>
      <c r="F298" s="2387"/>
      <c r="G298" s="2431"/>
      <c r="H298" s="1504"/>
      <c r="I298" s="655" t="s">
        <v>1462</v>
      </c>
      <c r="J298" s="575"/>
      <c r="K298" s="1504"/>
      <c r="L298" s="218"/>
      <c r="M298" s="345"/>
      <c r="N298" s="338"/>
      <c r="O298" s="1628"/>
      <c r="P298" s="1628"/>
      <c r="AH298" s="1635">
        <v>0</v>
      </c>
    </row>
    <row s="1639" customFormat="1" customHeight="1" ht="0.75" hidden="1">
      <c r="A299" s="1784"/>
      <c r="B299" s="1784"/>
      <c r="C299" s="373" t="s">
        <v>1470</v>
      </c>
      <c r="D299" s="2466"/>
      <c r="E299" s="2208"/>
      <c r="F299" s="2387"/>
      <c r="G299" s="404"/>
      <c r="H299" s="1504"/>
      <c r="I299" s="655"/>
      <c r="J299" s="575"/>
      <c r="K299" s="1504"/>
      <c r="L299" s="218"/>
      <c r="M299" s="345"/>
      <c r="N299" s="338"/>
      <c r="O299" s="1628"/>
      <c r="P299" s="1628"/>
      <c r="AH299" s="1635">
        <v>0</v>
      </c>
    </row>
    <row s="1639" customFormat="1" customHeight="1" ht="18.75" hidden="1">
      <c r="A300" s="1784" t="s">
        <v>248</v>
      </c>
      <c r="B300" s="1784" t="s">
        <v>249</v>
      </c>
      <c r="C300" s="373"/>
      <c r="D300" s="2466"/>
      <c r="E300" s="2208"/>
      <c r="F300" s="2387" t="str">
        <f>INDEX(PT_DIFFERENTIATION_VTAR,MATCH(A300,PT_DIFFERENTIATION_VTAR_ID,0))</f>
        <v>Тариф на техническую воду</v>
      </c>
      <c r="G300" s="2431" t="str">
        <f>INDEX(PT_DIFFERENTIATION_NTAR,MATCH(B300,PT_DIFFERENTIATION_NTAR_ID,0))</f>
        <v/>
      </c>
      <c r="H300" s="1866"/>
      <c r="I300" s="1743"/>
      <c r="J300" s="1777"/>
      <c r="K300" s="1782"/>
      <c r="L300" s="1866" t="s">
        <v>324</v>
      </c>
      <c r="M300" s="345"/>
      <c r="N300" s="338"/>
      <c r="O300" s="1628"/>
      <c r="P300" s="1628"/>
      <c r="AH300" s="1635">
        <v>0</v>
      </c>
    </row>
    <row s="1639" customFormat="1" customHeight="1" ht="18.75" hidden="1">
      <c r="A301" s="1784"/>
      <c r="B301" s="1784"/>
      <c r="C301" s="373" t="s">
        <v>1463</v>
      </c>
      <c r="D301" s="2466"/>
      <c r="E301" s="2208"/>
      <c r="F301" s="2387"/>
      <c r="G301" s="2431"/>
      <c r="H301" s="1504"/>
      <c r="I301" s="655" t="s">
        <v>1462</v>
      </c>
      <c r="J301" s="575"/>
      <c r="K301" s="1504"/>
      <c r="L301" s="218"/>
      <c r="M301" s="345"/>
      <c r="N301" s="338"/>
      <c r="O301" s="1628"/>
      <c r="P301" s="1628"/>
      <c r="AH301" s="1635">
        <v>0</v>
      </c>
    </row>
    <row s="1639" customFormat="1" customHeight="1" ht="0.75" hidden="1">
      <c r="A302" s="1784"/>
      <c r="B302" s="1784"/>
      <c r="C302" s="373" t="s">
        <v>1470</v>
      </c>
      <c r="D302" s="2466"/>
      <c r="E302" s="2208"/>
      <c r="F302" s="2387"/>
      <c r="G302" s="404"/>
      <c r="H302" s="1504"/>
      <c r="I302" s="655"/>
      <c r="J302" s="575"/>
      <c r="K302" s="1504"/>
      <c r="L302" s="218"/>
      <c r="M302" s="345"/>
      <c r="N302" s="338"/>
      <c r="O302" s="1628"/>
      <c r="P302" s="1628"/>
      <c r="AH302" s="1635">
        <v>0</v>
      </c>
    </row>
    <row s="1639" customFormat="1" customHeight="1" ht="18.75" hidden="1">
      <c r="A303" s="1784" t="s">
        <v>253</v>
      </c>
      <c r="B303" s="1784" t="s">
        <v>254</v>
      </c>
      <c r="C303" s="373"/>
      <c r="D303" s="2466"/>
      <c r="E303" s="2208"/>
      <c r="F303" s="2387" t="str">
        <f>INDEX(PT_DIFFERENTIATION_VTAR,MATCH(A303,PT_DIFFERENTIATION_VTAR_ID,0))</f>
        <v>Тариф на транспортировку воды</v>
      </c>
      <c r="G303" s="2431" t="str">
        <f>INDEX(PT_DIFFERENTIATION_NTAR,MATCH(B303,PT_DIFFERENTIATION_NTAR_ID,0))</f>
        <v/>
      </c>
      <c r="H303" s="1866"/>
      <c r="I303" s="1743"/>
      <c r="J303" s="1777"/>
      <c r="K303" s="1782"/>
      <c r="L303" s="1866" t="s">
        <v>324</v>
      </c>
      <c r="M303" s="345"/>
      <c r="N303" s="338"/>
      <c r="O303" s="1628"/>
      <c r="P303" s="1628"/>
      <c r="AH303" s="1635">
        <v>0</v>
      </c>
    </row>
    <row s="1639" customFormat="1" customHeight="1" ht="18.75" hidden="1">
      <c r="A304" s="1784"/>
      <c r="B304" s="1784"/>
      <c r="C304" s="373" t="s">
        <v>1463</v>
      </c>
      <c r="D304" s="2466"/>
      <c r="E304" s="2208"/>
      <c r="F304" s="2387"/>
      <c r="G304" s="2431"/>
      <c r="H304" s="1504"/>
      <c r="I304" s="655" t="s">
        <v>1462</v>
      </c>
      <c r="J304" s="575"/>
      <c r="K304" s="1504"/>
      <c r="L304" s="218"/>
      <c r="M304" s="345"/>
      <c r="N304" s="338"/>
      <c r="O304" s="1628"/>
      <c r="P304" s="1628"/>
      <c r="AH304" s="1635">
        <v>0</v>
      </c>
    </row>
    <row s="1639" customFormat="1" customHeight="1" ht="0.75" hidden="1">
      <c r="A305" s="1784"/>
      <c r="B305" s="1784"/>
      <c r="C305" s="373" t="s">
        <v>1470</v>
      </c>
      <c r="D305" s="2466"/>
      <c r="E305" s="2208"/>
      <c r="F305" s="2387"/>
      <c r="G305" s="404"/>
      <c r="H305" s="1504"/>
      <c r="I305" s="655"/>
      <c r="J305" s="575"/>
      <c r="K305" s="1504"/>
      <c r="L305" s="218"/>
      <c r="M305" s="345"/>
      <c r="N305" s="338"/>
      <c r="O305" s="1628"/>
      <c r="P305" s="1628"/>
      <c r="AH305" s="1635">
        <v>0</v>
      </c>
    </row>
    <row s="1639" customFormat="1" customHeight="1" ht="18.75" hidden="1">
      <c r="A306" s="1784" t="s">
        <v>258</v>
      </c>
      <c r="B306" s="1784" t="s">
        <v>259</v>
      </c>
      <c r="C306" s="373"/>
      <c r="D306" s="2466"/>
      <c r="E306" s="2208"/>
      <c r="F306" s="2387" t="str">
        <f>INDEX(PT_DIFFERENTIATION_VTAR,MATCH(A306,PT_DIFFERENTIATION_VTAR_ID,0))</f>
        <v>Тариф на подвоз воды</v>
      </c>
      <c r="G306" s="2431" t="str">
        <f>INDEX(PT_DIFFERENTIATION_NTAR,MATCH(B306,PT_DIFFERENTIATION_NTAR_ID,0))</f>
        <v/>
      </c>
      <c r="H306" s="1866"/>
      <c r="I306" s="1743"/>
      <c r="J306" s="1777"/>
      <c r="K306" s="1782"/>
      <c r="L306" s="1866" t="s">
        <v>324</v>
      </c>
      <c r="M306" s="345"/>
      <c r="N306" s="338"/>
      <c r="O306" s="1628"/>
      <c r="P306" s="1628"/>
      <c r="AH306" s="1635">
        <v>0</v>
      </c>
    </row>
    <row s="1639" customFormat="1" customHeight="1" ht="18.75" hidden="1">
      <c r="A307" s="1784"/>
      <c r="B307" s="1784"/>
      <c r="C307" s="373" t="s">
        <v>1463</v>
      </c>
      <c r="D307" s="2466"/>
      <c r="E307" s="2208"/>
      <c r="F307" s="2387"/>
      <c r="G307" s="2431"/>
      <c r="H307" s="1504"/>
      <c r="I307" s="655" t="s">
        <v>1462</v>
      </c>
      <c r="J307" s="575"/>
      <c r="K307" s="1504"/>
      <c r="L307" s="218"/>
      <c r="M307" s="345"/>
      <c r="N307" s="338"/>
      <c r="O307" s="1628"/>
      <c r="P307" s="1628"/>
      <c r="AH307" s="1635">
        <v>0</v>
      </c>
    </row>
    <row s="1639" customFormat="1" customHeight="1" ht="0.75" hidden="1">
      <c r="A308" s="1784"/>
      <c r="B308" s="1784"/>
      <c r="C308" s="373" t="s">
        <v>1470</v>
      </c>
      <c r="D308" s="2466"/>
      <c r="E308" s="2208"/>
      <c r="F308" s="2387"/>
      <c r="G308" s="404"/>
      <c r="H308" s="1504"/>
      <c r="I308" s="655"/>
      <c r="J308" s="575"/>
      <c r="K308" s="1504"/>
      <c r="L308" s="218"/>
      <c r="M308" s="345"/>
      <c r="N308" s="338"/>
      <c r="O308" s="1628"/>
      <c r="P308" s="1628"/>
      <c r="AH308" s="1635">
        <v>0</v>
      </c>
    </row>
    <row s="1639" customFormat="1" customHeight="1" ht="18.75" hidden="1">
      <c r="A309" s="1784" t="s">
        <v>263</v>
      </c>
      <c r="B309" s="1784" t="s">
        <v>264</v>
      </c>
      <c r="C309" s="373"/>
      <c r="D309" s="2466"/>
      <c r="E309" s="2208"/>
      <c r="F309" s="238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1" t="str">
        <f>INDEX(PT_DIFFERENTIATION_NTAR,MATCH(B309,PT_DIFFERENTIATION_NTAR_ID,0))</f>
        <v/>
      </c>
      <c r="H309" s="1866"/>
      <c r="I309" s="1743"/>
      <c r="J309" s="1777"/>
      <c r="K309" s="1782"/>
      <c r="L309" s="1866" t="s">
        <v>324</v>
      </c>
      <c r="M309" s="345"/>
      <c r="N309" s="338"/>
      <c r="O309" s="1628"/>
      <c r="P309" s="1628"/>
      <c r="AH309" s="1635">
        <v>0</v>
      </c>
    </row>
    <row s="1639" customFormat="1" customHeight="1" ht="18.75" hidden="1">
      <c r="A310" s="1784"/>
      <c r="B310" s="1784"/>
      <c r="C310" s="373" t="s">
        <v>1463</v>
      </c>
      <c r="D310" s="2466"/>
      <c r="E310" s="2208"/>
      <c r="F310" s="2387"/>
      <c r="G310" s="2431"/>
      <c r="H310" s="1504"/>
      <c r="I310" s="655" t="s">
        <v>1462</v>
      </c>
      <c r="J310" s="575"/>
      <c r="K310" s="1504"/>
      <c r="L310" s="218"/>
      <c r="M310" s="345"/>
      <c r="N310" s="338"/>
      <c r="O310" s="1628"/>
      <c r="P310" s="1628"/>
      <c r="AH310" s="1635">
        <v>0</v>
      </c>
    </row>
    <row s="1639" customFormat="1" customHeight="1" ht="0.75" hidden="1">
      <c r="A311" s="1784"/>
      <c r="B311" s="1784"/>
      <c r="C311" s="373" t="s">
        <v>1470</v>
      </c>
      <c r="D311" s="2466"/>
      <c r="E311" s="2208"/>
      <c r="F311" s="2387"/>
      <c r="G311" s="404"/>
      <c r="H311" s="1504"/>
      <c r="I311" s="655"/>
      <c r="J311" s="575"/>
      <c r="K311" s="1504"/>
      <c r="L311" s="218"/>
      <c r="M311" s="345"/>
      <c r="N311" s="338"/>
      <c r="O311" s="1628"/>
      <c r="P311" s="1628"/>
      <c r="AH311" s="1635">
        <v>0</v>
      </c>
    </row>
    <row s="1639" customFormat="1" customHeight="1" ht="18.75" hidden="1">
      <c r="A312" s="1784" t="s">
        <v>268</v>
      </c>
      <c r="B312" s="1784" t="s">
        <v>269</v>
      </c>
      <c r="C312" s="373"/>
      <c r="D312" s="2466"/>
      <c r="E312" s="2208"/>
      <c r="F312" s="2387" t="str">
        <f>INDEX(PT_DIFFERENTIATION_VTAR,MATCH(A312,PT_DIFFERENTIATION_VTAR_ID,0))</f>
        <v>Тариф на горячую воду (горячее водоснабжение)</v>
      </c>
      <c r="G312" s="2431" t="str">
        <f>INDEX(PT_DIFFERENTIATION_NTAR,MATCH(B312,PT_DIFFERENTIATION_NTAR_ID,0))</f>
        <v/>
      </c>
      <c r="H312" s="1866"/>
      <c r="I312" s="1743"/>
      <c r="J312" s="1777"/>
      <c r="K312" s="1782"/>
      <c r="L312" s="1866" t="s">
        <v>324</v>
      </c>
      <c r="M312" s="345"/>
      <c r="N312" s="338"/>
      <c r="O312" s="1628"/>
      <c r="P312" s="1628"/>
      <c r="AH312" s="1635">
        <v>0</v>
      </c>
    </row>
    <row s="1639" customFormat="1" customHeight="1" ht="18.75" hidden="1">
      <c r="A313" s="1784"/>
      <c r="B313" s="1784"/>
      <c r="C313" s="373" t="s">
        <v>1463</v>
      </c>
      <c r="D313" s="2466"/>
      <c r="E313" s="2208"/>
      <c r="F313" s="2387"/>
      <c r="G313" s="2431"/>
      <c r="H313" s="1504"/>
      <c r="I313" s="655" t="s">
        <v>1462</v>
      </c>
      <c r="J313" s="575"/>
      <c r="K313" s="1504"/>
      <c r="L313" s="218"/>
      <c r="M313" s="345"/>
      <c r="N313" s="338"/>
      <c r="O313" s="1628"/>
      <c r="P313" s="1628"/>
      <c r="AH313" s="1635">
        <v>0</v>
      </c>
    </row>
    <row s="1639" customFormat="1" customHeight="1" ht="0.75" hidden="1">
      <c r="A314" s="1784"/>
      <c r="B314" s="1784"/>
      <c r="C314" s="373" t="s">
        <v>1470</v>
      </c>
      <c r="D314" s="2466"/>
      <c r="E314" s="2208"/>
      <c r="F314" s="2387"/>
      <c r="G314" s="404"/>
      <c r="H314" s="1504"/>
      <c r="I314" s="655"/>
      <c r="J314" s="575"/>
      <c r="K314" s="1504"/>
      <c r="L314" s="218"/>
      <c r="M314" s="345"/>
      <c r="N314" s="338"/>
      <c r="O314" s="1628"/>
      <c r="P314" s="1628"/>
      <c r="AH314" s="1635">
        <v>0</v>
      </c>
    </row>
    <row s="1639" customFormat="1" customHeight="1" ht="18.75" hidden="1">
      <c r="A315" s="1784" t="s">
        <v>273</v>
      </c>
      <c r="B315" s="1784" t="s">
        <v>274</v>
      </c>
      <c r="C315" s="373"/>
      <c r="D315" s="2466"/>
      <c r="E315" s="2208"/>
      <c r="F315" s="2387" t="str">
        <f>INDEX(PT_DIFFERENTIATION_VTAR,MATCH(A315,PT_DIFFERENTIATION_VTAR_ID,0))</f>
        <v>Тариф на транспортировку горячей воды</v>
      </c>
      <c r="G315" s="2431" t="str">
        <f>INDEX(PT_DIFFERENTIATION_NTAR,MATCH(B315,PT_DIFFERENTIATION_NTAR_ID,0))</f>
        <v/>
      </c>
      <c r="H315" s="1866"/>
      <c r="I315" s="1743"/>
      <c r="J315" s="1777"/>
      <c r="K315" s="1782"/>
      <c r="L315" s="1866" t="s">
        <v>324</v>
      </c>
      <c r="M315" s="345"/>
      <c r="N315" s="338"/>
      <c r="O315" s="1628"/>
      <c r="P315" s="1628"/>
      <c r="AH315" s="1635">
        <v>0</v>
      </c>
    </row>
    <row s="1639" customFormat="1" customHeight="1" ht="18.75" hidden="1">
      <c r="A316" s="1784"/>
      <c r="B316" s="1784"/>
      <c r="C316" s="373" t="s">
        <v>1463</v>
      </c>
      <c r="D316" s="2466"/>
      <c r="E316" s="2208"/>
      <c r="F316" s="2387"/>
      <c r="G316" s="2431"/>
      <c r="H316" s="1504"/>
      <c r="I316" s="655" t="s">
        <v>1462</v>
      </c>
      <c r="J316" s="575"/>
      <c r="K316" s="1504"/>
      <c r="L316" s="218"/>
      <c r="M316" s="345"/>
      <c r="N316" s="338"/>
      <c r="O316" s="1628"/>
      <c r="P316" s="1628"/>
      <c r="AH316" s="1635">
        <v>0</v>
      </c>
    </row>
    <row s="1639" customFormat="1" customHeight="1" ht="0.75" hidden="1">
      <c r="A317" s="1784"/>
      <c r="B317" s="1784"/>
      <c r="C317" s="373" t="s">
        <v>1470</v>
      </c>
      <c r="D317" s="2466"/>
      <c r="E317" s="2208"/>
      <c r="F317" s="2387"/>
      <c r="G317" s="404"/>
      <c r="H317" s="1504"/>
      <c r="I317" s="655"/>
      <c r="J317" s="575"/>
      <c r="K317" s="1504"/>
      <c r="L317" s="218"/>
      <c r="M317" s="345"/>
      <c r="N317" s="338"/>
      <c r="O317" s="1628"/>
      <c r="P317" s="1628"/>
      <c r="AH317" s="1635">
        <v>0</v>
      </c>
    </row>
    <row s="1639" customFormat="1" customHeight="1" ht="18.75" hidden="1">
      <c r="A318" s="1784" t="s">
        <v>278</v>
      </c>
      <c r="B318" s="1784" t="s">
        <v>279</v>
      </c>
      <c r="C318" s="373"/>
      <c r="D318" s="2466"/>
      <c r="E318" s="2208"/>
      <c r="F318" s="238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1" t="str">
        <f>INDEX(PT_DIFFERENTIATION_NTAR,MATCH(B318,PT_DIFFERENTIATION_NTAR_ID,0))</f>
        <v/>
      </c>
      <c r="H318" s="1866"/>
      <c r="I318" s="1743"/>
      <c r="J318" s="1777"/>
      <c r="K318" s="1782"/>
      <c r="L318" s="1866" t="s">
        <v>324</v>
      </c>
      <c r="M318" s="345"/>
      <c r="N318" s="338"/>
      <c r="O318" s="1628"/>
      <c r="P318" s="1628"/>
      <c r="AH318" s="1635">
        <v>0</v>
      </c>
    </row>
    <row s="1639" customFormat="1" customHeight="1" ht="18.75" hidden="1">
      <c r="A319" s="1784"/>
      <c r="B319" s="1784"/>
      <c r="C319" s="373" t="s">
        <v>1463</v>
      </c>
      <c r="D319" s="2466"/>
      <c r="E319" s="2208"/>
      <c r="F319" s="2387"/>
      <c r="G319" s="2431"/>
      <c r="H319" s="1504"/>
      <c r="I319" s="655" t="s">
        <v>1462</v>
      </c>
      <c r="J319" s="575"/>
      <c r="K319" s="1504"/>
      <c r="L319" s="218"/>
      <c r="M319" s="345"/>
      <c r="N319" s="338"/>
      <c r="O319" s="1628"/>
      <c r="P319" s="1628"/>
      <c r="AH319" s="1635">
        <v>0</v>
      </c>
    </row>
    <row s="1639" customFormat="1" customHeight="1" ht="0.75" hidden="1">
      <c r="A320" s="1784"/>
      <c r="B320" s="1784"/>
      <c r="C320" s="373" t="s">
        <v>1470</v>
      </c>
      <c r="D320" s="2466"/>
      <c r="E320" s="2208"/>
      <c r="F320" s="2387"/>
      <c r="G320" s="404"/>
      <c r="H320" s="1504"/>
      <c r="I320" s="655"/>
      <c r="J320" s="575"/>
      <c r="K320" s="1504"/>
      <c r="L320" s="218"/>
      <c r="M320" s="345"/>
      <c r="N320" s="338"/>
      <c r="O320" s="1628"/>
      <c r="P320" s="1628"/>
      <c r="AH320" s="1635">
        <v>0</v>
      </c>
    </row>
    <row s="1639" customFormat="1" customHeight="1" ht="18.75" hidden="1">
      <c r="A321" s="1784" t="s">
        <v>283</v>
      </c>
      <c r="B321" s="1784" t="s">
        <v>284</v>
      </c>
      <c r="C321" s="373"/>
      <c r="D321" s="2466"/>
      <c r="E321" s="2208"/>
      <c r="F321" s="2387" t="str">
        <f>INDEX(PT_DIFFERENTIATION_VTAR,MATCH(A321,PT_DIFFERENTIATION_VTAR_ID,0))</f>
        <v>Тариф на водоотведение</v>
      </c>
      <c r="G321" s="2431" t="str">
        <f>INDEX(PT_DIFFERENTIATION_NTAR,MATCH(B321,PT_DIFFERENTIATION_NTAR_ID,0))</f>
        <v/>
      </c>
      <c r="H321" s="1866"/>
      <c r="I321" s="1743"/>
      <c r="J321" s="1777"/>
      <c r="K321" s="1782"/>
      <c r="L321" s="1866" t="s">
        <v>324</v>
      </c>
      <c r="M321" s="345"/>
      <c r="N321" s="338"/>
      <c r="O321" s="1628"/>
      <c r="P321" s="1628"/>
      <c r="AH321" s="1635">
        <v>0</v>
      </c>
    </row>
    <row s="1639" customFormat="1" customHeight="1" ht="18.75" hidden="1">
      <c r="A322" s="1784"/>
      <c r="B322" s="1784"/>
      <c r="C322" s="373" t="s">
        <v>1463</v>
      </c>
      <c r="D322" s="2466"/>
      <c r="E322" s="2208"/>
      <c r="F322" s="2387"/>
      <c r="G322" s="2431"/>
      <c r="H322" s="1504"/>
      <c r="I322" s="655" t="s">
        <v>1462</v>
      </c>
      <c r="J322" s="575"/>
      <c r="K322" s="1504"/>
      <c r="L322" s="218"/>
      <c r="M322" s="345"/>
      <c r="N322" s="338"/>
      <c r="O322" s="1628"/>
      <c r="P322" s="1628"/>
      <c r="AH322" s="1635">
        <v>0</v>
      </c>
    </row>
    <row s="1639" customFormat="1" customHeight="1" ht="0.75" hidden="1">
      <c r="A323" s="1784"/>
      <c r="B323" s="1784"/>
      <c r="C323" s="373" t="s">
        <v>1470</v>
      </c>
      <c r="D323" s="2466"/>
      <c r="E323" s="2208"/>
      <c r="F323" s="2387"/>
      <c r="G323" s="404"/>
      <c r="H323" s="1504"/>
      <c r="I323" s="655"/>
      <c r="J323" s="575"/>
      <c r="K323" s="1504"/>
      <c r="L323" s="218"/>
      <c r="M323" s="345"/>
      <c r="N323" s="338"/>
      <c r="O323" s="1628"/>
      <c r="P323" s="1628"/>
      <c r="AH323" s="1635">
        <v>0</v>
      </c>
    </row>
    <row s="1639" customFormat="1" customHeight="1" ht="18.75" hidden="1">
      <c r="A324" s="1784" t="s">
        <v>288</v>
      </c>
      <c r="B324" s="1784" t="s">
        <v>289</v>
      </c>
      <c r="C324" s="373"/>
      <c r="D324" s="2466"/>
      <c r="E324" s="2208"/>
      <c r="F324" s="2387" t="str">
        <f>INDEX(PT_DIFFERENTIATION_VTAR,MATCH(A324,PT_DIFFERENTIATION_VTAR_ID,0))</f>
        <v>Тариф на транспортировку сточных вод</v>
      </c>
      <c r="G324" s="2431" t="str">
        <f>INDEX(PT_DIFFERENTIATION_NTAR,MATCH(B324,PT_DIFFERENTIATION_NTAR_ID,0))</f>
        <v/>
      </c>
      <c r="H324" s="1866"/>
      <c r="I324" s="1743"/>
      <c r="J324" s="1777"/>
      <c r="K324" s="1782"/>
      <c r="L324" s="1866" t="s">
        <v>324</v>
      </c>
      <c r="M324" s="345"/>
      <c r="N324" s="338"/>
      <c r="O324" s="1628"/>
      <c r="P324" s="1628"/>
      <c r="AH324" s="1635">
        <v>0</v>
      </c>
    </row>
    <row s="1639" customFormat="1" customHeight="1" ht="18.75" hidden="1">
      <c r="A325" s="1784"/>
      <c r="B325" s="1784"/>
      <c r="C325" s="373" t="s">
        <v>1463</v>
      </c>
      <c r="D325" s="2466"/>
      <c r="E325" s="2208"/>
      <c r="F325" s="2387"/>
      <c r="G325" s="2431"/>
      <c r="H325" s="1504"/>
      <c r="I325" s="655" t="s">
        <v>1462</v>
      </c>
      <c r="J325" s="575"/>
      <c r="K325" s="1504"/>
      <c r="L325" s="218"/>
      <c r="M325" s="345"/>
      <c r="N325" s="338"/>
      <c r="O325" s="1628"/>
      <c r="P325" s="1628"/>
      <c r="AH325" s="1635">
        <v>0</v>
      </c>
    </row>
    <row s="1639" customFormat="1" customHeight="1" ht="0.75" hidden="1">
      <c r="A326" s="1784"/>
      <c r="B326" s="1784"/>
      <c r="C326" s="373" t="s">
        <v>1470</v>
      </c>
      <c r="D326" s="2466"/>
      <c r="E326" s="2208"/>
      <c r="F326" s="2387"/>
      <c r="G326" s="404"/>
      <c r="H326" s="1504"/>
      <c r="I326" s="655"/>
      <c r="J326" s="575"/>
      <c r="K326" s="1504"/>
      <c r="L326" s="218"/>
      <c r="M326" s="345"/>
      <c r="N326" s="338"/>
      <c r="O326" s="1628"/>
      <c r="P326" s="1628"/>
      <c r="AH326" s="1635">
        <v>0</v>
      </c>
    </row>
    <row s="1639" customFormat="1" customHeight="1" ht="18.75" hidden="1">
      <c r="A327" s="1784" t="s">
        <v>293</v>
      </c>
      <c r="B327" s="1784" t="s">
        <v>294</v>
      </c>
      <c r="C327" s="373"/>
      <c r="D327" s="2466"/>
      <c r="E327" s="2208"/>
      <c r="F327" s="2387" t="str">
        <f>INDEX(PT_DIFFERENTIATION_VTAR,MATCH(A327,PT_DIFFERENTIATION_VTAR_ID,0))</f>
        <v>Тариф на подключение (технологическое присоединение) к централизованной системе водоотведения</v>
      </c>
      <c r="G327" s="2431" t="str">
        <f>INDEX(PT_DIFFERENTIATION_NTAR,MATCH(B327,PT_DIFFERENTIATION_NTAR_ID,0))</f>
        <v/>
      </c>
      <c r="H327" s="1866"/>
      <c r="I327" s="1743"/>
      <c r="J327" s="1777"/>
      <c r="K327" s="1782"/>
      <c r="L327" s="1866" t="s">
        <v>324</v>
      </c>
      <c r="M327" s="345"/>
      <c r="N327" s="338"/>
      <c r="O327" s="1628"/>
      <c r="P327" s="1628"/>
      <c r="AH327" s="1635">
        <v>0</v>
      </c>
    </row>
    <row s="1639" customFormat="1" customHeight="1" ht="18.75" hidden="1">
      <c r="A328" s="1784"/>
      <c r="B328" s="1784"/>
      <c r="C328" s="373" t="s">
        <v>1463</v>
      </c>
      <c r="D328" s="2466"/>
      <c r="E328" s="2208"/>
      <c r="F328" s="2387"/>
      <c r="G328" s="2431"/>
      <c r="H328" s="1504"/>
      <c r="I328" s="655" t="s">
        <v>1462</v>
      </c>
      <c r="J328" s="575"/>
      <c r="K328" s="1504"/>
      <c r="L328" s="218"/>
      <c r="M328" s="345"/>
      <c r="N328" s="338"/>
      <c r="O328" s="1628"/>
      <c r="P328" s="1628"/>
      <c r="AH328" s="1635">
        <v>0</v>
      </c>
    </row>
    <row s="1639" customFormat="1" customHeight="1" ht="1.05">
      <c r="A329" s="1784"/>
      <c r="B329" s="1784"/>
      <c r="C329" s="373" t="s">
        <v>1470</v>
      </c>
      <c r="D329" s="2466"/>
      <c r="E329" s="2208"/>
      <c r="F329" s="2387"/>
      <c r="G329" s="404"/>
      <c r="H329" s="1504"/>
      <c r="I329" s="655"/>
      <c r="J329" s="575"/>
      <c r="K329" s="1504"/>
      <c r="L329" s="218"/>
      <c r="M329" s="345"/>
      <c r="N329" s="338"/>
      <c r="O329" s="1628"/>
      <c r="P329" s="1628"/>
      <c r="AH329" s="1635">
        <v>1</v>
      </c>
    </row>
    <row s="1827" customFormat="1" customHeight="1" ht="3">
      <c r="A330" s="1784"/>
      <c r="B330" s="1784"/>
      <c r="C330" s="1785"/>
      <c r="E330" s="406"/>
      <c r="F330" s="406"/>
      <c r="G330" s="406"/>
      <c r="H330" s="406"/>
      <c r="I330" s="406"/>
      <c r="J330" s="406"/>
      <c r="K330" s="406"/>
      <c r="L330" s="406"/>
      <c r="M330" s="406"/>
      <c r="O330" s="200"/>
      <c r="P330" s="200"/>
      <c r="AH330" s="144">
        <v>3</v>
      </c>
    </row>
    <row customHeight="1" ht="26.25">
      <c r="E331" s="206"/>
      <c r="F331" s="2289"/>
      <c r="G331" s="2289"/>
      <c r="H331" s="2289"/>
      <c r="I331" s="2289"/>
      <c r="J331" s="2289"/>
      <c r="K331" s="2289"/>
      <c r="L331" s="2289"/>
      <c r="M331" s="2289"/>
      <c r="AH331" s="378">
        <v>25</v>
      </c>
    </row>
    <row customHeight="1" ht="14.25" hidden="1">
      <c r="A332" s="1783" t="s">
        <v>82</v>
      </c>
      <c r="B332" s="1783">
        <v>0</v>
      </c>
      <c r="C332" s="373">
        <v>0</v>
      </c>
      <c r="D332" s="348">
        <v>3</v>
      </c>
      <c r="E332" s="378">
        <v>6</v>
      </c>
      <c r="F332" s="378">
        <v>46</v>
      </c>
      <c r="G332" s="378">
        <v>35</v>
      </c>
      <c r="H332" s="378">
        <v>3</v>
      </c>
      <c r="I332" s="378">
        <v>11</v>
      </c>
      <c r="J332" s="378">
        <v>11</v>
      </c>
      <c r="K332" s="378">
        <v>35</v>
      </c>
      <c r="L332" s="378">
        <v>35</v>
      </c>
      <c r="M332" s="378">
        <v>84</v>
      </c>
      <c r="N332" s="378">
        <v>10</v>
      </c>
      <c r="O332" s="354">
        <v>10</v>
      </c>
      <c r="P332" s="354">
        <v>10</v>
      </c>
      <c r="Q332" s="378">
        <v>10</v>
      </c>
      <c r="R332" s="378">
        <v>10</v>
      </c>
      <c r="S332" s="378">
        <v>10</v>
      </c>
      <c r="T332" s="378">
        <v>10</v>
      </c>
      <c r="U332" s="378">
        <v>10</v>
      </c>
      <c r="V332" s="378">
        <v>10</v>
      </c>
      <c r="W332" s="378">
        <v>10</v>
      </c>
      <c r="X332" s="378">
        <v>10</v>
      </c>
      <c r="Y332" s="378">
        <v>10</v>
      </c>
      <c r="Z332" s="378">
        <v>10</v>
      </c>
      <c r="AA332" s="378">
        <v>10</v>
      </c>
      <c r="AB332" s="378">
        <v>10</v>
      </c>
      <c r="AC332" s="378">
        <v>10</v>
      </c>
      <c r="AD332" s="378">
        <v>10</v>
      </c>
      <c r="AE332" s="378">
        <v>10</v>
      </c>
      <c r="AF332" s="378">
        <v>10</v>
      </c>
      <c r="AG332" s="378">
        <v>10</v>
      </c>
      <c r="AH332" s="37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CAF335-7B8D-8579-C6A4-CC99739B8007}"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5" style="1639" width="53.00390625" customWidth="1"/>
    <col min="6" max="7" style="1639" width="35.00390625" customWidth="1"/>
    <col min="8" max="8" style="1639" width="89.00390625" customWidth="1"/>
    <col min="9" max="9" style="1639" width="10.00390625" customWidth="1"/>
    <col min="10" max="11" style="1628" width="10.00390625" customWidth="1"/>
    <col min="12" max="17" style="1639" width="10.00390625" customWidth="1"/>
    <col min="18" max="18" style="1639" width="10.57421875" hidden="1"/>
  </cols>
  <sheetData>
    <row customHeight="1" ht="22.5" hidden="1">
      <c r="N1" s="259"/>
      <c r="O1" s="259"/>
      <c r="Q1" s="259"/>
      <c r="R1" s="378" t="s">
        <v>14</v>
      </c>
    </row>
    <row s="1639" customFormat="1" customHeight="1" ht="18.75" hidden="1">
      <c r="A2" s="106"/>
      <c r="B2" s="1164"/>
      <c r="C2" s="1734" t="s">
        <v>104</v>
      </c>
      <c r="D2" s="1677"/>
      <c r="E2" s="1686"/>
      <c r="F2" s="261"/>
      <c r="G2" s="1165"/>
      <c r="H2" s="378"/>
      <c r="I2" s="1628"/>
      <c r="J2" s="1628"/>
      <c r="R2" s="1635">
        <v>0</v>
      </c>
    </row>
    <row customHeight="1" ht="14.25" hidden="1">
      <c r="R3" s="378">
        <v>0</v>
      </c>
    </row>
    <row customHeight="1" ht="6.3">
      <c r="C4" s="380"/>
      <c r="D4" s="367"/>
      <c r="E4" s="367"/>
      <c r="F4" s="367"/>
      <c r="G4" s="89"/>
      <c r="H4" s="89"/>
      <c r="R4" s="378">
        <v>6</v>
      </c>
    </row>
    <row customHeight="1" ht="34.5">
      <c r="C5" s="380"/>
      <c r="D5" s="245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59"/>
      <c r="F5" s="2459"/>
      <c r="G5" s="2460"/>
      <c r="H5" s="270"/>
      <c r="R5" s="378">
        <v>33</v>
      </c>
    </row>
    <row s="1639" customFormat="1" customHeight="1" ht="18">
      <c r="A6" s="1673"/>
      <c r="B6" s="1164"/>
      <c r="C6" s="380"/>
      <c r="D6" s="2461" t="str">
        <f>IF(org=0,"Не определено",org)</f>
        <v>АО "Теплоэнерго"</v>
      </c>
      <c r="E6" s="2462"/>
      <c r="F6" s="2462"/>
      <c r="G6" s="2463"/>
      <c r="H6" s="270"/>
      <c r="J6" s="1628"/>
      <c r="K6" s="1628"/>
      <c r="R6" s="1635">
        <v>17</v>
      </c>
    </row>
    <row customHeight="1" ht="14.699999999999998">
      <c r="C7" s="380"/>
      <c r="D7" s="367"/>
      <c r="E7" s="393"/>
      <c r="F7" s="393"/>
      <c r="G7" s="756"/>
      <c r="H7" s="197"/>
      <c r="R7" s="378">
        <v>14</v>
      </c>
    </row>
    <row customHeight="1" ht="14.699999999999998">
      <c r="C8" s="380"/>
      <c r="D8" s="2213" t="s">
        <v>318</v>
      </c>
      <c r="E8" s="2213"/>
      <c r="F8" s="2213"/>
      <c r="G8" s="2213"/>
      <c r="H8" s="2393" t="s">
        <v>319</v>
      </c>
      <c r="R8" s="378">
        <v>14</v>
      </c>
    </row>
    <row customHeight="1" ht="24">
      <c r="C9" s="380"/>
      <c r="D9" s="390" t="s">
        <v>88</v>
      </c>
      <c r="E9" s="112" t="s">
        <v>320</v>
      </c>
      <c r="F9" s="112" t="s">
        <v>321</v>
      </c>
      <c r="G9" s="112" t="s">
        <v>408</v>
      </c>
      <c r="H9" s="2393"/>
      <c r="R9" s="378">
        <v>23</v>
      </c>
    </row>
    <row customHeight="1" ht="14.699999999999998">
      <c r="A10" s="347"/>
      <c r="C10" s="380"/>
      <c r="D10" s="151" t="s">
        <v>119</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1"/>
      <c r="G10" s="217"/>
      <c r="H10" s="2173" t="s">
        <v>1471</v>
      </c>
      <c r="R10" s="378">
        <v>14</v>
      </c>
    </row>
    <row customHeight="1" ht="14.699999999999998">
      <c r="A11" s="347"/>
      <c r="C11" s="380"/>
      <c r="D11" s="151" t="s">
        <v>103</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1"/>
      <c r="G11" s="217"/>
      <c r="H11" s="2174"/>
      <c r="R11" s="378">
        <v>14</v>
      </c>
    </row>
    <row customHeight="1" ht="14.699999999999998">
      <c r="A12" s="106"/>
      <c r="C12" s="391"/>
      <c r="D12" s="151" t="s">
        <v>90</v>
      </c>
      <c r="E12" s="392" t="str">
        <f>"Сведения о планировании закупочных процедур"&amp;IF(TEMPLATE_SPHERE="TKO"," &lt;1&gt;","")</f>
        <v>Сведения о планировании закупочных процедур</v>
      </c>
      <c r="F12" s="261"/>
      <c r="G12" s="217"/>
      <c r="H12" s="21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4"/>
      <c r="K12" s="378"/>
      <c r="R12" s="378">
        <v>14</v>
      </c>
    </row>
    <row customHeight="1" ht="14.699999999999998">
      <c r="A13" s="106"/>
      <c r="C13" s="391"/>
      <c r="D13" s="151" t="s">
        <v>91</v>
      </c>
      <c r="E13" s="392" t="str">
        <f>"Сведения о результатах проведения закупочных процедур"&amp;IF(TEMPLATE_SPHERE="TKO"," &lt;1&gt;","")</f>
        <v>Сведения о результатах проведения закупочных процедур</v>
      </c>
      <c r="F13" s="261"/>
      <c r="G13" s="217"/>
      <c r="H13" s="2174"/>
      <c r="I13" s="354"/>
      <c r="K13" s="378"/>
      <c r="R13" s="378">
        <v>14</v>
      </c>
    </row>
    <row customHeight="1" ht="14.699999999999998">
      <c r="A14" s="347"/>
      <c r="C14" s="380"/>
      <c r="D14" s="351"/>
      <c r="E14" s="399" t="s">
        <v>340</v>
      </c>
      <c r="F14" s="353"/>
      <c r="G14" s="205"/>
      <c r="H14" s="2175"/>
      <c r="R14" s="378">
        <v>14</v>
      </c>
    </row>
    <row s="1639" customFormat="1" customHeight="1" ht="14.699999999999998">
      <c r="A15" s="347"/>
      <c r="B15" s="1164"/>
      <c r="C15" s="380"/>
      <c r="D15" s="400"/>
      <c r="E15" s="1681"/>
      <c r="F15" s="1682"/>
      <c r="G15" s="1683"/>
      <c r="H15" s="1684"/>
      <c r="J15" s="1628"/>
      <c r="K15" s="1628"/>
      <c r="R15" s="1635">
        <v>14</v>
      </c>
    </row>
    <row customHeight="1" ht="14.699999999999998">
      <c r="D16" s="1685"/>
      <c r="E16" s="2389"/>
      <c r="F16" s="2389"/>
      <c r="G16" s="2389"/>
      <c r="H16" s="2389"/>
      <c r="R16" s="378">
        <v>14</v>
      </c>
    </row>
    <row customHeight="1" ht="22.5" hidden="1">
      <c r="A17" s="368" t="s">
        <v>82</v>
      </c>
      <c r="B17" s="150">
        <v>0</v>
      </c>
      <c r="C17" s="348">
        <v>3</v>
      </c>
      <c r="D17" s="378">
        <v>6</v>
      </c>
      <c r="E17" s="378">
        <v>53</v>
      </c>
      <c r="F17" s="378">
        <v>35</v>
      </c>
      <c r="G17" s="378">
        <v>35</v>
      </c>
      <c r="H17" s="378">
        <v>89</v>
      </c>
      <c r="I17" s="378">
        <v>10</v>
      </c>
      <c r="J17" s="354">
        <v>10</v>
      </c>
      <c r="K17" s="354">
        <v>10</v>
      </c>
      <c r="L17" s="378">
        <v>10</v>
      </c>
      <c r="M17" s="378">
        <v>10</v>
      </c>
      <c r="N17" s="378">
        <v>10</v>
      </c>
      <c r="O17" s="378">
        <v>10</v>
      </c>
      <c r="P17" s="378">
        <v>10</v>
      </c>
      <c r="Q17" s="378">
        <v>10</v>
      </c>
      <c r="R17" s="37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8C34D7-22F8-9C03-A5C9-7D49AB762E4F}"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8"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47.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customWidth="1"/>
    <col min="21" max="21" style="1857" width="5.7109375" customWidth="1"/>
    <col min="22" max="22" style="1857" width="34.421875" customWidth="1"/>
    <col min="23" max="23" style="1857" width="30.00390625" customWidth="1"/>
    <col min="24" max="24" style="1857" width="3.00390625" customWidth="1"/>
    <col min="25" max="28" style="1270" width="9.8515625" hidden="1" customWidth="1"/>
    <col min="29" max="29" style="1270" width="27.00390625" hidden="1" customWidth="1"/>
    <col min="30" max="30" style="1270" width="10.57421875" hidden="1" customWidth="1"/>
    <col min="31" max="31" style="1270" width="10.7109375" hidden="1" customWidth="1"/>
    <col min="32" max="32" style="1270" width="10.00390625" hidden="1" customWidth="1"/>
    <col min="33" max="33" style="1270" width="12.8515625" hidden="1" customWidth="1"/>
    <col min="34" max="34" style="1270" width="24.421875" hidden="1" customWidth="1"/>
    <col min="35" max="35" style="1270" width="15.8515625" hidden="1" customWidth="1"/>
    <col min="36" max="36" style="1270" width="19.421875" hidden="1" customWidth="1"/>
    <col min="37" max="37" style="1270" width="11.00390625" hidden="1" customWidth="1"/>
    <col min="38" max="38" style="1270" width="23.57421875" hidden="1" customWidth="1"/>
    <col min="39" max="39" style="1270" width="23.8515625" hidden="1" customWidth="1"/>
    <col min="40" max="40" style="1270" width="25.28125" hidden="1" customWidth="1"/>
    <col min="41" max="41" style="1270" width="16.8515625" hidden="1" customWidth="1"/>
    <col min="42" max="42" style="1270" width="29.57421875" hidden="1" customWidth="1"/>
    <col min="43" max="43" style="1270" width="29.8515625" hidden="1" customWidth="1"/>
    <col min="44" max="44" style="1857" width="9.140625" hidden="1"/>
  </cols>
  <sheetData>
    <row customHeight="1" ht="11.25" hidden="1">
      <c r="A1" s="160"/>
      <c r="AR1" s="108" t="s">
        <v>14</v>
      </c>
    </row>
    <row customHeight="1" ht="11.25" hidden="1">
      <c r="AR2" s="108">
        <v>0</v>
      </c>
    </row>
    <row customHeight="1" ht="11.25" hidden="1">
      <c r="AR3" s="108">
        <v>0</v>
      </c>
    </row>
    <row customHeight="1" ht="3">
      <c r="AR4" s="108">
        <v>3</v>
      </c>
    </row>
    <row s="593" customFormat="1" customHeight="1" ht="30.45">
      <c r="A5" s="158"/>
      <c r="B5" s="158"/>
      <c r="D5" s="21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2"/>
      <c r="F5" s="2162"/>
      <c r="G5" s="2162"/>
      <c r="H5" s="2162"/>
      <c r="I5" s="2162"/>
      <c r="J5" s="2163"/>
      <c r="K5" s="269"/>
      <c r="L5" s="146"/>
      <c r="M5" s="146"/>
      <c r="N5" s="146"/>
      <c r="O5" s="146"/>
      <c r="P5" s="146"/>
      <c r="Q5" s="146"/>
      <c r="R5" s="146"/>
      <c r="S5" s="294"/>
      <c r="T5" s="294"/>
      <c r="U5" s="294"/>
      <c r="V5" s="294"/>
      <c r="W5" s="146"/>
      <c r="Y5" s="1264"/>
      <c r="Z5" s="1264"/>
      <c r="AA5" s="1264"/>
      <c r="AB5" s="1264"/>
      <c r="AC5" s="1264"/>
      <c r="AD5" s="1264"/>
      <c r="AE5" s="1264"/>
      <c r="AF5" s="1264"/>
      <c r="AG5" s="1264"/>
      <c r="AH5" s="1264"/>
      <c r="AI5" s="1264"/>
      <c r="AJ5" s="1264"/>
      <c r="AK5" s="1264"/>
      <c r="AL5" s="1264"/>
      <c r="AM5" s="1264"/>
      <c r="AN5" s="1264"/>
      <c r="AO5" s="1264"/>
      <c r="AP5" s="1264"/>
      <c r="AQ5" s="1264"/>
      <c r="AR5" s="115">
        <v>29</v>
      </c>
    </row>
    <row s="593" customFormat="1" customHeight="1" ht="14.699999999999998">
      <c r="A6" s="589"/>
      <c r="B6" s="589"/>
      <c r="C6" s="589"/>
      <c r="D6" s="2167" t="str">
        <f>IF(org=0,"Не определено",org)</f>
        <v>АО "Теплоэнерго"</v>
      </c>
      <c r="E6" s="2167"/>
      <c r="F6" s="2167"/>
      <c r="G6" s="2167"/>
      <c r="H6" s="2167"/>
      <c r="I6" s="2167"/>
      <c r="J6" s="2167"/>
      <c r="K6" s="590"/>
      <c r="L6" s="590"/>
      <c r="M6" s="590"/>
      <c r="N6" s="590"/>
      <c r="O6" s="874"/>
      <c r="P6" s="874"/>
      <c r="Q6" s="874"/>
      <c r="R6" s="874"/>
      <c r="S6" s="874"/>
      <c r="T6" s="874"/>
      <c r="U6" s="874"/>
      <c r="V6" s="874"/>
      <c r="W6" s="874"/>
      <c r="X6" s="590"/>
      <c r="Y6" s="1265"/>
      <c r="Z6" s="1265"/>
      <c r="AA6" s="1265"/>
      <c r="AB6" s="1265"/>
      <c r="AC6" s="1265"/>
      <c r="AD6" s="1265"/>
      <c r="AE6" s="1265"/>
      <c r="AF6" s="1265"/>
      <c r="AG6" s="1265"/>
      <c r="AH6" s="1265"/>
      <c r="AI6" s="1265"/>
      <c r="AJ6" s="1265"/>
      <c r="AK6" s="1265"/>
      <c r="AL6" s="1265"/>
      <c r="AM6" s="1265"/>
      <c r="AN6" s="1265"/>
      <c r="AO6" s="1265"/>
      <c r="AP6" s="1265"/>
      <c r="AQ6" s="1265"/>
      <c r="AR6" s="591">
        <v>14</v>
      </c>
    </row>
    <row s="303" customFormat="1" customHeight="1" ht="11.549999999999999">
      <c r="A7" s="215"/>
      <c r="B7" s="215"/>
      <c r="D7" s="2164"/>
      <c r="E7" s="2165"/>
      <c r="F7" s="2165"/>
      <c r="G7" s="2165"/>
      <c r="H7" s="2165"/>
      <c r="I7" s="2165"/>
      <c r="J7" s="2166"/>
      <c r="S7" s="303"/>
      <c r="T7" s="303"/>
      <c r="U7" s="303"/>
      <c r="V7" s="303"/>
      <c r="Y7" s="1266"/>
      <c r="Z7" s="1266"/>
      <c r="AA7" s="1266"/>
      <c r="AB7" s="1266"/>
      <c r="AC7" s="1266"/>
      <c r="AD7" s="1266"/>
      <c r="AE7" s="1266"/>
      <c r="AF7" s="1266"/>
      <c r="AG7" s="1266"/>
      <c r="AH7" s="1266"/>
      <c r="AI7" s="1266"/>
      <c r="AJ7" s="1266"/>
      <c r="AK7" s="1266"/>
      <c r="AL7" s="1266"/>
      <c r="AM7" s="1266"/>
      <c r="AN7" s="1266"/>
      <c r="AO7" s="1266"/>
      <c r="AP7" s="1266"/>
      <c r="AQ7" s="1266"/>
      <c r="AR7" s="280">
        <v>11</v>
      </c>
    </row>
    <row s="593" customFormat="1" customHeight="1" ht="1.05">
      <c r="A8" s="158"/>
      <c r="B8" s="158"/>
      <c r="D8" s="216"/>
      <c r="E8" s="216"/>
      <c r="F8" s="216"/>
      <c r="G8" s="216"/>
      <c r="H8" s="216"/>
      <c r="I8" s="216"/>
      <c r="J8" s="216"/>
      <c r="K8" s="216"/>
      <c r="L8" s="216"/>
      <c r="M8" s="216"/>
      <c r="N8" s="216"/>
      <c r="O8" s="216"/>
      <c r="P8" s="216"/>
      <c r="Q8" s="216"/>
      <c r="R8" s="216"/>
      <c r="S8" s="216"/>
      <c r="T8" s="216"/>
      <c r="U8" s="216"/>
      <c r="V8" s="216"/>
      <c r="W8" s="216"/>
      <c r="X8" s="136"/>
      <c r="Y8" s="1264"/>
      <c r="Z8" s="1264"/>
      <c r="AA8" s="1264"/>
      <c r="AB8" s="1264"/>
      <c r="AC8" s="1264"/>
      <c r="AD8" s="1264"/>
      <c r="AE8" s="1264"/>
      <c r="AF8" s="1264"/>
      <c r="AG8" s="1264"/>
      <c r="AH8" s="1264"/>
      <c r="AI8" s="1264"/>
      <c r="AJ8" s="1264"/>
      <c r="AK8" s="1264"/>
      <c r="AL8" s="1264"/>
      <c r="AM8" s="1264"/>
      <c r="AN8" s="1264"/>
      <c r="AO8" s="1264"/>
      <c r="AP8" s="1264"/>
      <c r="AQ8" s="1264"/>
      <c r="AR8" s="115">
        <v>1</v>
      </c>
    </row>
    <row customHeight="1" ht="28.5">
      <c r="D9" s="2131" t="s">
        <v>88</v>
      </c>
      <c r="E9" s="2105" t="s">
        <v>142</v>
      </c>
      <c r="F9" s="2107"/>
      <c r="G9" s="2131" t="s">
        <v>115</v>
      </c>
      <c r="H9" s="2131" t="s">
        <v>88</v>
      </c>
      <c r="I9" s="2131"/>
      <c r="J9" s="2131" t="s">
        <v>143</v>
      </c>
      <c r="K9" s="2159" t="s">
        <v>144</v>
      </c>
      <c r="L9" s="2159"/>
      <c r="M9" s="2159"/>
      <c r="N9" s="2159"/>
      <c r="O9" s="2159" t="s">
        <v>145</v>
      </c>
      <c r="P9" s="2159"/>
      <c r="Q9" s="2159"/>
      <c r="R9" s="2159"/>
      <c r="S9" s="2159" t="s">
        <v>146</v>
      </c>
      <c r="T9" s="2159"/>
      <c r="U9" s="2159"/>
      <c r="V9" s="2159"/>
      <c r="W9" s="2131" t="s">
        <v>147</v>
      </c>
      <c r="AR9" s="108">
        <v>27</v>
      </c>
    </row>
    <row customHeight="1" ht="31.5">
      <c r="D10" s="2131"/>
      <c r="E10" s="1288" t="s">
        <v>89</v>
      </c>
      <c r="F10" s="1288" t="s">
        <v>148</v>
      </c>
      <c r="G10" s="2131"/>
      <c r="H10" s="2131"/>
      <c r="I10" s="2131"/>
      <c r="J10" s="2131"/>
      <c r="K10" s="114" t="s">
        <v>118</v>
      </c>
      <c r="L10" s="2131" t="s">
        <v>88</v>
      </c>
      <c r="M10" s="2131"/>
      <c r="N10" s="114" t="s">
        <v>149</v>
      </c>
      <c r="O10" s="114" t="s">
        <v>118</v>
      </c>
      <c r="P10" s="2131" t="s">
        <v>88</v>
      </c>
      <c r="Q10" s="2131"/>
      <c r="R10" s="114" t="s">
        <v>149</v>
      </c>
      <c r="S10" s="287" t="s">
        <v>118</v>
      </c>
      <c r="T10" s="2131" t="s">
        <v>88</v>
      </c>
      <c r="U10" s="2131"/>
      <c r="V10" s="287" t="s">
        <v>89</v>
      </c>
      <c r="W10" s="2131"/>
      <c r="Z10" s="1263" t="s">
        <v>150</v>
      </c>
      <c r="AA10" s="1263" t="s">
        <v>151</v>
      </c>
      <c r="AB10" s="1263" t="s">
        <v>152</v>
      </c>
      <c r="AC10" s="1263" t="s">
        <v>153</v>
      </c>
      <c r="AD10" s="1263" t="s">
        <v>154</v>
      </c>
      <c r="AE10" s="1263" t="s">
        <v>155</v>
      </c>
      <c r="AF10" s="1263" t="s">
        <v>156</v>
      </c>
      <c r="AG10" s="1263" t="s">
        <v>157</v>
      </c>
      <c r="AH10" s="1263" t="s">
        <v>158</v>
      </c>
      <c r="AI10" s="1263" t="s">
        <v>159</v>
      </c>
      <c r="AJ10" s="1263" t="s">
        <v>160</v>
      </c>
      <c r="AK10" s="1263" t="s">
        <v>161</v>
      </c>
      <c r="AL10" s="1263" t="s">
        <v>162</v>
      </c>
      <c r="AM10" s="1263" t="s">
        <v>163</v>
      </c>
      <c r="AN10" s="1263" t="s">
        <v>164</v>
      </c>
      <c r="AO10" s="1263" t="s">
        <v>165</v>
      </c>
      <c r="AP10" s="1263" t="s">
        <v>166</v>
      </c>
      <c r="AQ10" s="1263" t="s">
        <v>167</v>
      </c>
      <c r="AR10" s="108">
        <v>30</v>
      </c>
    </row>
    <row s="1628" customFormat="1" customHeight="1" ht="12" hidden="1">
      <c r="D11" s="1253" t="s">
        <v>119</v>
      </c>
      <c r="E11" s="1253" t="s">
        <v>103</v>
      </c>
      <c r="F11" s="1253"/>
      <c r="G11" s="1253" t="s">
        <v>90</v>
      </c>
      <c r="H11" s="2160" t="s">
        <v>120</v>
      </c>
      <c r="I11" s="2160"/>
      <c r="J11" s="1253" t="s">
        <v>92</v>
      </c>
      <c r="K11" s="1253" t="s">
        <v>93</v>
      </c>
      <c r="L11" s="2160" t="s">
        <v>121</v>
      </c>
      <c r="M11" s="2160"/>
      <c r="N11" s="1253" t="s">
        <v>168</v>
      </c>
      <c r="O11" s="1253" t="s">
        <v>169</v>
      </c>
      <c r="P11" s="2160" t="s">
        <v>170</v>
      </c>
      <c r="Q11" s="2160"/>
      <c r="R11" s="1253" t="s">
        <v>171</v>
      </c>
      <c r="S11" s="1253" t="s">
        <v>170</v>
      </c>
      <c r="T11" s="2160" t="s">
        <v>171</v>
      </c>
      <c r="U11" s="2160"/>
      <c r="V11" s="1253" t="s">
        <v>172</v>
      </c>
      <c r="W11" s="1253" t="s">
        <v>173</v>
      </c>
      <c r="Y11" s="1263"/>
      <c r="Z11" s="1263"/>
      <c r="AA11" s="1263"/>
      <c r="AB11" s="1263"/>
      <c r="AC11" s="1263"/>
      <c r="AD11" s="1263"/>
      <c r="AE11" s="1263"/>
      <c r="AF11" s="1263"/>
      <c r="AG11" s="1263"/>
      <c r="AH11" s="1263"/>
      <c r="AI11" s="1263"/>
      <c r="AJ11" s="1263"/>
      <c r="AK11" s="1263"/>
      <c r="AL11" s="1263"/>
      <c r="AM11" s="1263"/>
      <c r="AN11" s="1263"/>
      <c r="AO11" s="1263"/>
      <c r="AP11" s="1263"/>
      <c r="AQ11" s="1263"/>
      <c r="AR11" s="281">
        <v>0</v>
      </c>
    </row>
    <row customHeight="1" ht="14.25" hidden="1">
      <c r="C12" s="213"/>
      <c r="D12" s="1286">
        <v>0</v>
      </c>
      <c r="E12" s="254"/>
      <c r="F12" s="254"/>
      <c r="G12" s="254"/>
      <c r="H12" s="255"/>
      <c r="I12" s="255"/>
      <c r="J12" s="162"/>
      <c r="K12" s="116"/>
      <c r="L12" s="162"/>
      <c r="M12" s="162"/>
      <c r="N12" s="256"/>
      <c r="O12" s="116"/>
      <c r="P12" s="162"/>
      <c r="Q12" s="162"/>
      <c r="R12" s="257"/>
      <c r="S12" s="288"/>
      <c r="T12" s="296"/>
      <c r="U12" s="296"/>
      <c r="V12" s="300"/>
      <c r="W12" s="116"/>
      <c r="X12" s="145"/>
      <c r="AR12" s="108">
        <v>0</v>
      </c>
    </row>
    <row s="1857" customFormat="1" customHeight="1" ht="17.25" hidden="1">
      <c r="A13" s="325"/>
      <c r="C13" s="213"/>
      <c r="D13" s="2139">
        <v>1</v>
      </c>
      <c r="E13" s="2147" t="s">
        <v>174</v>
      </c>
      <c r="F13" s="2149" t="s">
        <v>19</v>
      </c>
      <c r="G13" s="2147"/>
      <c r="H13" s="2152"/>
      <c r="I13" s="2154"/>
      <c r="J13" s="2156"/>
      <c r="K13" s="2141"/>
      <c r="L13" s="2141"/>
      <c r="M13" s="2141"/>
      <c r="N13" s="2143"/>
      <c r="O13" s="2141"/>
      <c r="P13" s="2141"/>
      <c r="Q13" s="2141"/>
      <c r="R13" s="2146"/>
      <c r="S13" s="2141"/>
      <c r="T13" s="1424"/>
      <c r="U13" s="1424"/>
      <c r="V13" s="1423"/>
      <c r="W13" s="1300"/>
      <c r="Y13" s="1271"/>
      <c r="Z13" s="1271"/>
      <c r="AA13" s="1271"/>
      <c r="AB13" s="1271"/>
      <c r="AC13" s="1271" t="s">
        <v>175</v>
      </c>
      <c r="AD13" s="1271" t="s">
        <v>176</v>
      </c>
      <c r="AE13" s="1271" t="s">
        <v>177</v>
      </c>
      <c r="AF13" s="1271" t="s">
        <v>178</v>
      </c>
      <c r="AG13" s="1271" t="s">
        <v>179</v>
      </c>
      <c r="AH13" s="12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1" t="str">
        <f>IF($G$13=0,"",$G$13)</f>
        <v/>
      </c>
      <c r="AJ13" s="1271" t="str">
        <f>IF($J$13=0,"",$J$13)</f>
        <v/>
      </c>
      <c r="AK13" s="1271" t="str">
        <f>IF($K$13="нет","без дифференциации",IF($N$13=0,"",$N$13))</f>
        <v/>
      </c>
      <c r="AL13" s="1271" t="str">
        <f>IF($O$13="нет","без дифференциации",IF($R$13=0,"",$R$13))</f>
        <v/>
      </c>
      <c r="AM13" s="1271" t="str">
        <f>IF($S$13="нет","без дифференциации",IF($V$13=0,"",$V$13))</f>
        <v/>
      </c>
      <c r="AN13" s="1271">
        <f>$I$13</f>
        <v>0</v>
      </c>
      <c r="AO13" s="1271" t="str">
        <f>$I$13&amp;"."&amp;$M$13</f>
        <v>.</v>
      </c>
      <c r="AP13" s="1271" t="str">
        <f>$I$13&amp;"."&amp;$M$13&amp;"."&amp;$Q$13</f>
        <v>..</v>
      </c>
      <c r="AQ13" s="1271" t="str">
        <f>$I$13&amp;"."&amp;$M$13&amp;"."&amp;$Q$13&amp;"."&amp;$U$13</f>
        <v>...</v>
      </c>
      <c r="AR13" s="754">
        <v>0</v>
      </c>
    </row>
    <row s="1857" customFormat="1" customHeight="1" ht="17.25" hidden="1">
      <c r="A14" s="325"/>
      <c r="C14" s="324"/>
      <c r="D14" s="2139"/>
      <c r="E14" s="2147"/>
      <c r="F14" s="2150"/>
      <c r="G14" s="2147"/>
      <c r="H14" s="2153"/>
      <c r="I14" s="2155"/>
      <c r="J14" s="2157"/>
      <c r="K14" s="2142"/>
      <c r="L14" s="2142"/>
      <c r="M14" s="2142"/>
      <c r="N14" s="2144"/>
      <c r="O14" s="2142"/>
      <c r="P14" s="2142"/>
      <c r="Q14" s="2142"/>
      <c r="R14" s="2145"/>
      <c r="S14" s="2142"/>
      <c r="T14" s="1301"/>
      <c r="U14" s="1301"/>
      <c r="V14" s="1301"/>
      <c r="W14" s="1302"/>
      <c r="Y14" s="1263"/>
      <c r="Z14" s="1263"/>
      <c r="AA14" s="1263"/>
      <c r="AB14" s="1263"/>
      <c r="AC14" s="1263"/>
      <c r="AD14" s="1263"/>
      <c r="AE14" s="1263"/>
      <c r="AF14" s="1263"/>
      <c r="AG14" s="1263"/>
      <c r="AH14" s="1263"/>
      <c r="AI14" s="1263"/>
      <c r="AJ14" s="1263"/>
      <c r="AK14" s="1263"/>
      <c r="AL14" s="1263"/>
      <c r="AM14" s="1263"/>
      <c r="AN14" s="1263"/>
      <c r="AO14" s="1263"/>
      <c r="AP14" s="1263"/>
      <c r="AQ14" s="1263"/>
      <c r="AR14" s="754">
        <v>0</v>
      </c>
    </row>
    <row s="1857" customFormat="1" customHeight="1" ht="17.25" hidden="1">
      <c r="A15" s="325"/>
      <c r="C15" s="213"/>
      <c r="D15" s="2139"/>
      <c r="E15" s="2147"/>
      <c r="F15" s="2150"/>
      <c r="G15" s="2147"/>
      <c r="H15" s="2153"/>
      <c r="I15" s="2155"/>
      <c r="J15" s="2158"/>
      <c r="K15" s="2142"/>
      <c r="L15" s="2142"/>
      <c r="M15" s="2142"/>
      <c r="N15" s="2145"/>
      <c r="O15" s="2142"/>
      <c r="P15" s="1422"/>
      <c r="Q15" s="1301"/>
      <c r="R15" s="1301"/>
      <c r="S15" s="333"/>
      <c r="T15" s="333"/>
      <c r="U15" s="333"/>
      <c r="V15" s="333"/>
      <c r="W15" s="1302"/>
      <c r="Y15" s="1271"/>
      <c r="Z15" s="1271"/>
      <c r="AA15" s="1271"/>
      <c r="AB15" s="1271"/>
      <c r="AC15" s="1271"/>
      <c r="AD15" s="1271"/>
      <c r="AE15" s="1271"/>
      <c r="AF15" s="1271"/>
      <c r="AG15" s="1271"/>
      <c r="AH15" s="1271"/>
      <c r="AI15" s="1271"/>
      <c r="AJ15" s="1271"/>
      <c r="AK15" s="1271"/>
      <c r="AL15" s="1271"/>
      <c r="AM15" s="1271"/>
      <c r="AN15" s="1271"/>
      <c r="AO15" s="1271"/>
      <c r="AP15" s="1271"/>
      <c r="AQ15" s="1271"/>
      <c r="AR15" s="1421">
        <v>0</v>
      </c>
    </row>
    <row s="1857" customFormat="1" customHeight="1" ht="17.25" hidden="1">
      <c r="A16" s="325"/>
      <c r="C16" s="324"/>
      <c r="D16" s="2139"/>
      <c r="E16" s="2147"/>
      <c r="F16" s="2150"/>
      <c r="G16" s="2147"/>
      <c r="H16" s="2153"/>
      <c r="I16" s="2155"/>
      <c r="J16" s="2158"/>
      <c r="K16" s="2142"/>
      <c r="L16" s="1301"/>
      <c r="M16" s="1301"/>
      <c r="N16" s="1301"/>
      <c r="O16" s="1301"/>
      <c r="P16" s="1301"/>
      <c r="Q16" s="1301"/>
      <c r="R16" s="1301"/>
      <c r="S16" s="333"/>
      <c r="T16" s="333"/>
      <c r="U16" s="333"/>
      <c r="V16" s="333"/>
      <c r="W16" s="1302"/>
      <c r="Y16" s="1263"/>
      <c r="Z16" s="1263"/>
      <c r="AA16" s="1263"/>
      <c r="AB16" s="1263"/>
      <c r="AC16" s="1263"/>
      <c r="AD16" s="1263"/>
      <c r="AE16" s="1263"/>
      <c r="AF16" s="1263"/>
      <c r="AG16" s="1263"/>
      <c r="AH16" s="1263"/>
      <c r="AI16" s="1263"/>
      <c r="AJ16" s="1263"/>
      <c r="AK16" s="1263"/>
      <c r="AL16" s="1263"/>
      <c r="AM16" s="1263"/>
      <c r="AN16" s="1263"/>
      <c r="AO16" s="1263"/>
      <c r="AP16" s="1263"/>
      <c r="AQ16" s="1263"/>
      <c r="AR16" s="1421">
        <v>0</v>
      </c>
    </row>
    <row s="1857" customFormat="1" customHeight="1" ht="17.25" hidden="1">
      <c r="A17" s="325"/>
      <c r="C17" s="324"/>
      <c r="D17" s="2140"/>
      <c r="E17" s="2148"/>
      <c r="F17" s="2151"/>
      <c r="G17" s="2148"/>
      <c r="H17" s="1303"/>
      <c r="I17" s="1304"/>
      <c r="J17" s="1304"/>
      <c r="K17" s="1304"/>
      <c r="L17" s="1304"/>
      <c r="M17" s="1304"/>
      <c r="N17" s="1304"/>
      <c r="O17" s="1304"/>
      <c r="P17" s="1304"/>
      <c r="Q17" s="1304"/>
      <c r="R17" s="1304"/>
      <c r="S17" s="1305"/>
      <c r="T17" s="1305"/>
      <c r="U17" s="1305"/>
      <c r="V17" s="1305"/>
      <c r="W17" s="1306"/>
      <c r="Y17" s="1263"/>
      <c r="Z17" s="1263"/>
      <c r="AA17" s="1263"/>
      <c r="AB17" s="1263"/>
      <c r="AC17" s="1263"/>
      <c r="AD17" s="1263"/>
      <c r="AE17" s="1263"/>
      <c r="AF17" s="1263"/>
      <c r="AG17" s="1263"/>
      <c r="AH17" s="1263"/>
      <c r="AI17" s="1263"/>
      <c r="AJ17" s="1263"/>
      <c r="AK17" s="1263"/>
      <c r="AL17" s="1263"/>
      <c r="AM17" s="1263"/>
      <c r="AN17" s="1263"/>
      <c r="AO17" s="1263"/>
      <c r="AP17" s="1263"/>
      <c r="AQ17" s="1263"/>
      <c r="AR17" s="754">
        <v>0</v>
      </c>
    </row>
    <row s="1857" customFormat="1" customHeight="1" ht="17.25" hidden="1">
      <c r="A18" s="325"/>
      <c r="C18" s="213"/>
      <c r="D18" s="2139">
        <v>2</v>
      </c>
      <c r="E18" s="2168"/>
      <c r="F18" s="2149" t="s">
        <v>19</v>
      </c>
      <c r="G18" s="2147"/>
      <c r="H18" s="2152"/>
      <c r="I18" s="2154"/>
      <c r="J18" s="2156"/>
      <c r="K18" s="2141"/>
      <c r="L18" s="2141"/>
      <c r="M18" s="2141"/>
      <c r="N18" s="2143"/>
      <c r="O18" s="2141"/>
      <c r="P18" s="2141"/>
      <c r="Q18" s="2141"/>
      <c r="R18" s="2146"/>
      <c r="S18" s="2141"/>
      <c r="T18" s="1424"/>
      <c r="U18" s="1424"/>
      <c r="V18" s="1423"/>
      <c r="W18" s="1300"/>
      <c r="X18" s="1271"/>
      <c r="Y18" s="1271"/>
      <c r="Z18" s="1271"/>
      <c r="AA18" s="1271"/>
      <c r="AB18" s="1271"/>
      <c r="AC18" s="1271" t="s">
        <v>180</v>
      </c>
      <c r="AD18" s="1271" t="s">
        <v>181</v>
      </c>
      <c r="AE18" s="1271" t="s">
        <v>182</v>
      </c>
      <c r="AF18" s="1271" t="s">
        <v>183</v>
      </c>
      <c r="AG18" s="1271" t="s">
        <v>184</v>
      </c>
      <c r="AH18" s="1271" t="str">
        <f>IF($E$18=0,"",$E$18)</f>
        <v/>
      </c>
      <c r="AI18" s="1271" t="str">
        <f>IF($G$18=0,"",$G$18)</f>
        <v/>
      </c>
      <c r="AJ18" s="1271" t="str">
        <f>IF($J$18=0,"",$J$18)</f>
        <v/>
      </c>
      <c r="AK18" s="1271" t="str">
        <f>IF($K$18="нет","без дифференциации",IF($N$18=0,"",$N$18))</f>
        <v/>
      </c>
      <c r="AL18" s="1271" t="str">
        <f>IF($O$18="нет","без дифференциации",IF($R$18=0,"",$R$18))</f>
        <v/>
      </c>
      <c r="AM18" s="1271" t="str">
        <f>IF($S$18="нет","без дифференциации",IF($V$18=0,"",$V$18))</f>
        <v/>
      </c>
      <c r="AN18" s="1776">
        <f>$I$18</f>
        <v>0</v>
      </c>
      <c r="AO18" s="1271" t="str">
        <f>$I$18&amp;"."&amp;$M$18</f>
        <v>.</v>
      </c>
      <c r="AP18" s="1263" t="str">
        <f>$I$18&amp;"."&amp;$M$18&amp;"."&amp;$Q$18</f>
        <v>..</v>
      </c>
      <c r="AQ18" s="1263" t="str">
        <f>$I$18&amp;"."&amp;$M$18&amp;"."&amp;$Q$18&amp;"."&amp;$U$18</f>
        <v>...</v>
      </c>
      <c r="AR18" s="1287">
        <v>0</v>
      </c>
    </row>
    <row s="1857" customFormat="1" customHeight="1" ht="17.25" hidden="1">
      <c r="A19" s="325"/>
      <c r="C19" s="324"/>
      <c r="D19" s="2139"/>
      <c r="E19" s="2168"/>
      <c r="F19" s="2150"/>
      <c r="G19" s="2147"/>
      <c r="H19" s="2153"/>
      <c r="I19" s="2155"/>
      <c r="J19" s="2157"/>
      <c r="K19" s="2142"/>
      <c r="L19" s="2142"/>
      <c r="M19" s="2142"/>
      <c r="N19" s="2144"/>
      <c r="O19" s="2142"/>
      <c r="P19" s="2142"/>
      <c r="Q19" s="2142"/>
      <c r="R19" s="2145"/>
      <c r="S19" s="2142"/>
      <c r="T19" s="1301"/>
      <c r="U19" s="1301"/>
      <c r="V19" s="1301"/>
      <c r="W19" s="1302"/>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87">
        <v>0</v>
      </c>
    </row>
    <row s="1857" customFormat="1" customHeight="1" ht="17.25" hidden="1">
      <c r="A20" s="325"/>
      <c r="C20" s="324"/>
      <c r="D20" s="2140"/>
      <c r="E20" s="2169"/>
      <c r="F20" s="2150"/>
      <c r="G20" s="2148"/>
      <c r="H20" s="2153"/>
      <c r="I20" s="2155"/>
      <c r="J20" s="2158"/>
      <c r="K20" s="2142"/>
      <c r="L20" s="2142"/>
      <c r="M20" s="2142"/>
      <c r="N20" s="2145"/>
      <c r="O20" s="2142"/>
      <c r="P20" s="1422"/>
      <c r="Q20" s="1301"/>
      <c r="R20" s="1301"/>
      <c r="S20" s="333"/>
      <c r="T20" s="333"/>
      <c r="U20" s="333"/>
      <c r="V20" s="333"/>
      <c r="W20" s="1302"/>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87">
        <v>0</v>
      </c>
    </row>
    <row s="1857" customFormat="1" customHeight="1" ht="17.25" hidden="1">
      <c r="A21" s="325"/>
      <c r="C21" s="324"/>
      <c r="D21" s="2140"/>
      <c r="E21" s="2169"/>
      <c r="F21" s="2150"/>
      <c r="G21" s="2148"/>
      <c r="H21" s="2153"/>
      <c r="I21" s="2155"/>
      <c r="J21" s="2158"/>
      <c r="K21" s="2142"/>
      <c r="L21" s="1301"/>
      <c r="M21" s="1301"/>
      <c r="N21" s="1301"/>
      <c r="O21" s="1301"/>
      <c r="P21" s="1301"/>
      <c r="Q21" s="1301"/>
      <c r="R21" s="1301"/>
      <c r="S21" s="333"/>
      <c r="T21" s="333"/>
      <c r="U21" s="333"/>
      <c r="V21" s="333"/>
      <c r="W21" s="1302"/>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87">
        <v>0</v>
      </c>
    </row>
    <row s="1857" customFormat="1" customHeight="1" ht="17.25" hidden="1">
      <c r="A22" s="325"/>
      <c r="C22" s="324"/>
      <c r="D22" s="2140"/>
      <c r="E22" s="2169"/>
      <c r="F22" s="2151"/>
      <c r="G22" s="2148"/>
      <c r="H22" s="1303"/>
      <c r="I22" s="1304"/>
      <c r="J22" s="1304"/>
      <c r="K22" s="1304"/>
      <c r="L22" s="1304"/>
      <c r="M22" s="1304"/>
      <c r="N22" s="1304"/>
      <c r="O22" s="1304"/>
      <c r="P22" s="1304"/>
      <c r="Q22" s="1304"/>
      <c r="R22" s="1304"/>
      <c r="S22" s="1305"/>
      <c r="T22" s="1305"/>
      <c r="U22" s="1305"/>
      <c r="V22" s="1305"/>
      <c r="W22" s="1306"/>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87">
        <v>0</v>
      </c>
    </row>
    <row s="1857" customFormat="1" customHeight="1" ht="17.25" hidden="1">
      <c r="A23" s="325"/>
      <c r="C23" s="213"/>
      <c r="D23" s="2139">
        <v>2</v>
      </c>
      <c r="E23" s="2147" t="s">
        <v>185</v>
      </c>
      <c r="F23" s="2149" t="s">
        <v>19</v>
      </c>
      <c r="G23" s="2147"/>
      <c r="H23" s="2152"/>
      <c r="I23" s="2154"/>
      <c r="J23" s="2156"/>
      <c r="K23" s="2141"/>
      <c r="L23" s="2141"/>
      <c r="M23" s="2141"/>
      <c r="N23" s="2143"/>
      <c r="O23" s="2141"/>
      <c r="P23" s="2141"/>
      <c r="Q23" s="2141"/>
      <c r="R23" s="2146"/>
      <c r="S23" s="2141"/>
      <c r="T23" s="2002"/>
      <c r="U23" s="2002"/>
      <c r="V23" s="2004"/>
      <c r="W23" s="1300"/>
      <c r="X23" s="1271"/>
      <c r="Y23" s="1271"/>
      <c r="Z23" s="1271"/>
      <c r="AA23" s="1271"/>
      <c r="AB23" s="1271"/>
      <c r="AC23" s="1271" t="s">
        <v>180</v>
      </c>
      <c r="AD23" s="1271" t="s">
        <v>181</v>
      </c>
      <c r="AE23" s="1271" t="s">
        <v>182</v>
      </c>
      <c r="AF23" s="1271" t="s">
        <v>183</v>
      </c>
      <c r="AG23" s="1271" t="s">
        <v>184</v>
      </c>
      <c r="AH23" s="12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1" t="str">
        <f>IF($G$23=0,"",$G$23)</f>
        <v/>
      </c>
      <c r="AJ23" s="1271" t="str">
        <f>IF($J$23=0,"",$J$23)</f>
        <v/>
      </c>
      <c r="AK23" s="1271" t="str">
        <f>IF($K$23="нет","без дифференциации",IF($N$23=0,"",$N$23))</f>
        <v/>
      </c>
      <c r="AL23" s="1271" t="str">
        <f>IF($O$23="нет","без дифференциации",IF($R$23=0,"",$R$23))</f>
        <v/>
      </c>
      <c r="AM23" s="1271" t="str">
        <f>IF($S$23="нет","без дифференциации",IF($V$23=0,"",$V$23))</f>
        <v/>
      </c>
      <c r="AN23" s="1776">
        <f>$I$23</f>
        <v>0</v>
      </c>
      <c r="AO23" s="1271" t="str">
        <f>$I$23&amp;"."&amp;$M$23</f>
        <v>.</v>
      </c>
      <c r="AP23" s="1270" t="str">
        <f>$I$23&amp;"."&amp;$M$23&amp;"."&amp;$Q$23</f>
        <v>..</v>
      </c>
      <c r="AQ23" s="1270" t="str">
        <f>$I$23&amp;"."&amp;$M$23&amp;"."&amp;$Q$23&amp;"."&amp;$U$23</f>
        <v>...</v>
      </c>
      <c r="AR23" s="1471">
        <v>0</v>
      </c>
    </row>
    <row s="1857" customFormat="1" customHeight="1" ht="17.25" hidden="1">
      <c r="A24" s="325"/>
      <c r="C24" s="324"/>
      <c r="D24" s="2139"/>
      <c r="E24" s="2147"/>
      <c r="F24" s="2150"/>
      <c r="G24" s="2147"/>
      <c r="H24" s="2153"/>
      <c r="I24" s="2155"/>
      <c r="J24" s="2157"/>
      <c r="K24" s="2142"/>
      <c r="L24" s="2142"/>
      <c r="M24" s="2142"/>
      <c r="N24" s="2144"/>
      <c r="O24" s="2142"/>
      <c r="P24" s="2142"/>
      <c r="Q24" s="2142"/>
      <c r="R24" s="2145"/>
      <c r="S24" s="2142"/>
      <c r="T24" s="2007"/>
      <c r="U24" s="2007"/>
      <c r="V24" s="2007"/>
      <c r="W24" s="2008"/>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471">
        <v>0</v>
      </c>
    </row>
    <row s="1857" customFormat="1" customHeight="1" ht="17.25" hidden="1">
      <c r="A25" s="325"/>
      <c r="C25" s="324"/>
      <c r="D25" s="2140"/>
      <c r="E25" s="2148"/>
      <c r="F25" s="2150"/>
      <c r="G25" s="2148"/>
      <c r="H25" s="2153"/>
      <c r="I25" s="2155"/>
      <c r="J25" s="2158"/>
      <c r="K25" s="2142"/>
      <c r="L25" s="2142"/>
      <c r="M25" s="2142"/>
      <c r="N25" s="2145"/>
      <c r="O25" s="2142"/>
      <c r="P25" s="2003"/>
      <c r="Q25" s="2007"/>
      <c r="R25" s="2007"/>
      <c r="S25" s="333"/>
      <c r="T25" s="333"/>
      <c r="U25" s="333"/>
      <c r="V25" s="333"/>
      <c r="W25" s="2008"/>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471">
        <v>0</v>
      </c>
    </row>
    <row s="1857" customFormat="1" customHeight="1" ht="17.25" hidden="1">
      <c r="A26" s="325"/>
      <c r="C26" s="324"/>
      <c r="D26" s="2140"/>
      <c r="E26" s="2148"/>
      <c r="F26" s="2150"/>
      <c r="G26" s="2148"/>
      <c r="H26" s="2153"/>
      <c r="I26" s="2155"/>
      <c r="J26" s="2158"/>
      <c r="K26" s="2142"/>
      <c r="L26" s="2007"/>
      <c r="M26" s="2007"/>
      <c r="N26" s="2007"/>
      <c r="O26" s="2007"/>
      <c r="P26" s="2007"/>
      <c r="Q26" s="2007"/>
      <c r="R26" s="2007"/>
      <c r="S26" s="333"/>
      <c r="T26" s="333"/>
      <c r="U26" s="333"/>
      <c r="V26" s="333"/>
      <c r="W26" s="2008"/>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471">
        <v>0</v>
      </c>
    </row>
    <row s="1857" customFormat="1" customHeight="1" ht="17.25" hidden="1">
      <c r="A27" s="325"/>
      <c r="C27" s="324"/>
      <c r="D27" s="2140"/>
      <c r="E27" s="2148"/>
      <c r="F27" s="2151"/>
      <c r="G27" s="2148"/>
      <c r="H27" s="1303"/>
      <c r="I27" s="2005"/>
      <c r="J27" s="2005"/>
      <c r="K27" s="2005"/>
      <c r="L27" s="2005"/>
      <c r="M27" s="2005"/>
      <c r="N27" s="2005"/>
      <c r="O27" s="2005"/>
      <c r="P27" s="2005"/>
      <c r="Q27" s="2005"/>
      <c r="R27" s="2005"/>
      <c r="S27" s="1305"/>
      <c r="T27" s="1305"/>
      <c r="U27" s="1305"/>
      <c r="V27" s="1305"/>
      <c r="W27" s="2006"/>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471">
        <v>0</v>
      </c>
    </row>
    <row s="1857" customFormat="1" customHeight="1" ht="17.25" hidden="1">
      <c r="A28" s="325"/>
      <c r="C28" s="213"/>
      <c r="D28" s="2139">
        <v>3</v>
      </c>
      <c r="E28" s="2147" t="s">
        <v>186</v>
      </c>
      <c r="F28" s="2149" t="s">
        <v>19</v>
      </c>
      <c r="G28" s="2147"/>
      <c r="H28" s="2152"/>
      <c r="I28" s="2154"/>
      <c r="J28" s="2156"/>
      <c r="K28" s="2141"/>
      <c r="L28" s="2141"/>
      <c r="M28" s="2141"/>
      <c r="N28" s="2143"/>
      <c r="O28" s="2141"/>
      <c r="P28" s="2141"/>
      <c r="Q28" s="2141"/>
      <c r="R28" s="2146"/>
      <c r="S28" s="2141"/>
      <c r="T28" s="1424"/>
      <c r="U28" s="1424"/>
      <c r="V28" s="1423"/>
      <c r="W28" s="1300"/>
      <c r="X28" s="1271"/>
      <c r="Y28" s="1271"/>
      <c r="Z28" s="1271"/>
      <c r="AA28" s="1271"/>
      <c r="AB28" s="1271"/>
      <c r="AC28" s="1271" t="s">
        <v>187</v>
      </c>
      <c r="AD28" s="1271" t="s">
        <v>188</v>
      </c>
      <c r="AE28" s="1271" t="s">
        <v>189</v>
      </c>
      <c r="AF28" s="1271" t="s">
        <v>190</v>
      </c>
      <c r="AG28" s="1271" t="s">
        <v>191</v>
      </c>
      <c r="AH28" s="1271" t="str">
        <f>IF($E$28=0,"",$E$28)</f>
        <v>Тарифы на теплоноситель, поставляемый теплоснабжающими организациями потребителям, другим теплоснабжающим организациям</v>
      </c>
      <c r="AI28" s="1271" t="str">
        <f>IF($G$28=0,"",$G$28)</f>
        <v/>
      </c>
      <c r="AJ28" s="1271" t="str">
        <f>IF($J$28=0,"",$J$28)</f>
        <v/>
      </c>
      <c r="AK28" s="1271" t="str">
        <f>IF($K$28="нет","без дифференциации",IF($N$28=0,"",$N$28))</f>
        <v/>
      </c>
      <c r="AL28" s="1271" t="str">
        <f>IF($O$28="нет","без дифференциации",IF($R$28=0,"",$R$28))</f>
        <v/>
      </c>
      <c r="AM28" s="1271" t="str">
        <f>IF($S$28="нет","без дифференциации",IF($V$28=0,"",$V$28))</f>
        <v/>
      </c>
      <c r="AN28" s="1776">
        <f>$I$28</f>
        <v>0</v>
      </c>
      <c r="AO28" s="1271" t="str">
        <f>$I$28&amp;"."&amp;$M$28</f>
        <v>.</v>
      </c>
      <c r="AP28" s="1263" t="str">
        <f>$I$28&amp;"."&amp;$M$28&amp;"."&amp;$Q$28</f>
        <v>..</v>
      </c>
      <c r="AQ28" s="1263" t="str">
        <f>$I$28&amp;"."&amp;$M$28&amp;"."&amp;$Q$28&amp;"."&amp;$U$28</f>
        <v>...</v>
      </c>
      <c r="AR28" s="1287">
        <v>0</v>
      </c>
    </row>
    <row s="1857" customFormat="1" customHeight="1" ht="17.25" hidden="1">
      <c r="A29" s="325"/>
      <c r="C29" s="324"/>
      <c r="D29" s="2139"/>
      <c r="E29" s="2147"/>
      <c r="F29" s="2150"/>
      <c r="G29" s="2147"/>
      <c r="H29" s="2153"/>
      <c r="I29" s="2155"/>
      <c r="J29" s="2157"/>
      <c r="K29" s="2142"/>
      <c r="L29" s="2142"/>
      <c r="M29" s="2142"/>
      <c r="N29" s="2144"/>
      <c r="O29" s="2142"/>
      <c r="P29" s="2142"/>
      <c r="Q29" s="2142"/>
      <c r="R29" s="2145"/>
      <c r="S29" s="2142"/>
      <c r="T29" s="1301"/>
      <c r="U29" s="1301"/>
      <c r="V29" s="1301"/>
      <c r="W29" s="1302"/>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87">
        <v>0</v>
      </c>
    </row>
    <row s="1857" customFormat="1" customHeight="1" ht="17.25" hidden="1">
      <c r="A30" s="325"/>
      <c r="C30" s="324"/>
      <c r="D30" s="2140"/>
      <c r="E30" s="2148"/>
      <c r="F30" s="2150"/>
      <c r="G30" s="2148"/>
      <c r="H30" s="2153"/>
      <c r="I30" s="2155"/>
      <c r="J30" s="2158"/>
      <c r="K30" s="2142"/>
      <c r="L30" s="2142"/>
      <c r="M30" s="2142"/>
      <c r="N30" s="2145"/>
      <c r="O30" s="2142"/>
      <c r="P30" s="1422"/>
      <c r="Q30" s="1301"/>
      <c r="R30" s="1301"/>
      <c r="S30" s="333"/>
      <c r="T30" s="333"/>
      <c r="U30" s="333"/>
      <c r="V30" s="333"/>
      <c r="W30" s="1302"/>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87">
        <v>0</v>
      </c>
    </row>
    <row s="1857" customFormat="1" customHeight="1" ht="17.25" hidden="1">
      <c r="A31" s="325"/>
      <c r="C31" s="324"/>
      <c r="D31" s="2140"/>
      <c r="E31" s="2148"/>
      <c r="F31" s="2150"/>
      <c r="G31" s="2148"/>
      <c r="H31" s="2153"/>
      <c r="I31" s="2155"/>
      <c r="J31" s="2158"/>
      <c r="K31" s="2142"/>
      <c r="L31" s="1301"/>
      <c r="M31" s="1301"/>
      <c r="N31" s="1301"/>
      <c r="O31" s="1301"/>
      <c r="P31" s="1301"/>
      <c r="Q31" s="1301"/>
      <c r="R31" s="1301"/>
      <c r="S31" s="333"/>
      <c r="T31" s="333"/>
      <c r="U31" s="333"/>
      <c r="V31" s="333"/>
      <c r="W31" s="1302"/>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87">
        <v>0</v>
      </c>
    </row>
    <row s="1857" customFormat="1" customHeight="1" ht="17.25" hidden="1">
      <c r="A32" s="325"/>
      <c r="C32" s="324"/>
      <c r="D32" s="2140"/>
      <c r="E32" s="2148"/>
      <c r="F32" s="2151"/>
      <c r="G32" s="2148"/>
      <c r="H32" s="1303"/>
      <c r="I32" s="1304"/>
      <c r="J32" s="1304"/>
      <c r="K32" s="1304"/>
      <c r="L32" s="1304"/>
      <c r="M32" s="1304"/>
      <c r="N32" s="1304"/>
      <c r="O32" s="1304"/>
      <c r="P32" s="1304"/>
      <c r="Q32" s="1304"/>
      <c r="R32" s="1304"/>
      <c r="S32" s="1305"/>
      <c r="T32" s="1305"/>
      <c r="U32" s="1305"/>
      <c r="V32" s="1305"/>
      <c r="W32" s="1306"/>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87">
        <v>0</v>
      </c>
    </row>
    <row s="1857" customFormat="1" customHeight="1" ht="17.25" hidden="1">
      <c r="A33" s="325"/>
      <c r="C33" s="213"/>
      <c r="D33" s="2139">
        <v>4</v>
      </c>
      <c r="E33" s="2147" t="s">
        <v>192</v>
      </c>
      <c r="F33" s="2149" t="s">
        <v>19</v>
      </c>
      <c r="G33" s="2147"/>
      <c r="H33" s="2152"/>
      <c r="I33" s="2154"/>
      <c r="J33" s="2156"/>
      <c r="K33" s="2141"/>
      <c r="L33" s="2141"/>
      <c r="M33" s="2141"/>
      <c r="N33" s="2143"/>
      <c r="O33" s="2141"/>
      <c r="P33" s="2141"/>
      <c r="Q33" s="2141"/>
      <c r="R33" s="2146"/>
      <c r="S33" s="2141"/>
      <c r="T33" s="1424"/>
      <c r="U33" s="1424"/>
      <c r="V33" s="1423"/>
      <c r="W33" s="1300"/>
      <c r="X33" s="1271"/>
      <c r="Y33" s="1271"/>
      <c r="Z33" s="1271"/>
      <c r="AA33" s="1271"/>
      <c r="AB33" s="1271"/>
      <c r="AC33" s="1271" t="s">
        <v>193</v>
      </c>
      <c r="AD33" s="1271" t="s">
        <v>194</v>
      </c>
      <c r="AE33" s="1271" t="s">
        <v>195</v>
      </c>
      <c r="AF33" s="1271" t="s">
        <v>196</v>
      </c>
      <c r="AG33" s="1271" t="s">
        <v>197</v>
      </c>
      <c r="AH33" s="12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1" t="str">
        <f>IF($G$33=0,"",$G$33)</f>
        <v/>
      </c>
      <c r="AJ33" s="1271" t="str">
        <f>IF($J$33=0,"",$J$33)</f>
        <v/>
      </c>
      <c r="AK33" s="1271" t="str">
        <f>IF($K$33="нет","без дифференциации",IF($N$33=0,"",$N$33))</f>
        <v/>
      </c>
      <c r="AL33" s="1271" t="str">
        <f>IF($O$33="нет","без дифференциации",IF($R$33=0,"",$R$33))</f>
        <v/>
      </c>
      <c r="AM33" s="1271" t="str">
        <f>IF($S$33="нет","без дифференциации",IF($V$33=0,"",$V$33))</f>
        <v/>
      </c>
      <c r="AN33" s="1776">
        <f>$I$33</f>
        <v>0</v>
      </c>
      <c r="AO33" s="1271" t="str">
        <f>$I$33&amp;"."&amp;$M$33</f>
        <v>.</v>
      </c>
      <c r="AP33" s="1263" t="str">
        <f>$I$33&amp;"."&amp;$M$33&amp;"."&amp;$Q$33</f>
        <v>..</v>
      </c>
      <c r="AQ33" s="1263" t="str">
        <f>$I$33&amp;"."&amp;$M$33&amp;"."&amp;$Q$33&amp;"."&amp;$U$33</f>
        <v>...</v>
      </c>
      <c r="AR33" s="1287">
        <v>0</v>
      </c>
    </row>
    <row s="1857" customFormat="1" customHeight="1" ht="17.25" hidden="1">
      <c r="A34" s="325"/>
      <c r="C34" s="324"/>
      <c r="D34" s="2139"/>
      <c r="E34" s="2147"/>
      <c r="F34" s="2150"/>
      <c r="G34" s="2147"/>
      <c r="H34" s="2153"/>
      <c r="I34" s="2155"/>
      <c r="J34" s="2157"/>
      <c r="K34" s="2142"/>
      <c r="L34" s="2142"/>
      <c r="M34" s="2142"/>
      <c r="N34" s="2144"/>
      <c r="O34" s="2142"/>
      <c r="P34" s="2142"/>
      <c r="Q34" s="2142"/>
      <c r="R34" s="2145"/>
      <c r="S34" s="2142"/>
      <c r="T34" s="1301"/>
      <c r="U34" s="1301"/>
      <c r="V34" s="1301"/>
      <c r="W34" s="1302"/>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87">
        <v>0</v>
      </c>
    </row>
    <row s="1857" customFormat="1" customHeight="1" ht="17.25" hidden="1">
      <c r="A35" s="325"/>
      <c r="C35" s="324"/>
      <c r="D35" s="2140"/>
      <c r="E35" s="2148"/>
      <c r="F35" s="2150"/>
      <c r="G35" s="2148"/>
      <c r="H35" s="2153"/>
      <c r="I35" s="2155"/>
      <c r="J35" s="2158"/>
      <c r="K35" s="2142"/>
      <c r="L35" s="2142"/>
      <c r="M35" s="2142"/>
      <c r="N35" s="2145"/>
      <c r="O35" s="2142"/>
      <c r="P35" s="1422"/>
      <c r="Q35" s="1301"/>
      <c r="R35" s="1301"/>
      <c r="S35" s="333"/>
      <c r="T35" s="333"/>
      <c r="U35" s="333"/>
      <c r="V35" s="333"/>
      <c r="W35" s="1302"/>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87">
        <v>0</v>
      </c>
    </row>
    <row s="1857" customFormat="1" customHeight="1" ht="17.25" hidden="1">
      <c r="A36" s="325"/>
      <c r="C36" s="324"/>
      <c r="D36" s="2140"/>
      <c r="E36" s="2148"/>
      <c r="F36" s="2150"/>
      <c r="G36" s="2148"/>
      <c r="H36" s="2153"/>
      <c r="I36" s="2155"/>
      <c r="J36" s="2158"/>
      <c r="K36" s="2142"/>
      <c r="L36" s="1301"/>
      <c r="M36" s="1301"/>
      <c r="N36" s="1301"/>
      <c r="O36" s="1301"/>
      <c r="P36" s="1301"/>
      <c r="Q36" s="1301"/>
      <c r="R36" s="1301"/>
      <c r="S36" s="333"/>
      <c r="T36" s="333"/>
      <c r="U36" s="333"/>
      <c r="V36" s="333"/>
      <c r="W36" s="1302"/>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87">
        <v>0</v>
      </c>
    </row>
    <row s="1857" customFormat="1" customHeight="1" ht="17.25" hidden="1">
      <c r="A37" s="325"/>
      <c r="C37" s="324"/>
      <c r="D37" s="2140"/>
      <c r="E37" s="2148"/>
      <c r="F37" s="2151"/>
      <c r="G37" s="2148"/>
      <c r="H37" s="1303"/>
      <c r="I37" s="1304"/>
      <c r="J37" s="1304"/>
      <c r="K37" s="1304"/>
      <c r="L37" s="1304"/>
      <c r="M37" s="1304"/>
      <c r="N37" s="1304"/>
      <c r="O37" s="1304"/>
      <c r="P37" s="1304"/>
      <c r="Q37" s="1304"/>
      <c r="R37" s="1304"/>
      <c r="S37" s="1305"/>
      <c r="T37" s="1305"/>
      <c r="U37" s="1305"/>
      <c r="V37" s="1305"/>
      <c r="W37" s="1306"/>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87">
        <v>0</v>
      </c>
    </row>
    <row s="1857" customFormat="1" customHeight="1" ht="17.25" hidden="1">
      <c r="A38" s="325"/>
      <c r="C38" s="213"/>
      <c r="D38" s="2139">
        <v>5</v>
      </c>
      <c r="E38" s="2147" t="s">
        <v>198</v>
      </c>
      <c r="F38" s="2149" t="s">
        <v>19</v>
      </c>
      <c r="G38" s="2147"/>
      <c r="H38" s="2152"/>
      <c r="I38" s="2154"/>
      <c r="J38" s="2156"/>
      <c r="K38" s="2141"/>
      <c r="L38" s="2141"/>
      <c r="M38" s="2141"/>
      <c r="N38" s="2143"/>
      <c r="O38" s="2141"/>
      <c r="P38" s="2141"/>
      <c r="Q38" s="2141"/>
      <c r="R38" s="2146"/>
      <c r="S38" s="2141"/>
      <c r="T38" s="1424"/>
      <c r="U38" s="1424"/>
      <c r="V38" s="1423"/>
      <c r="W38" s="1300"/>
      <c r="X38" s="1271"/>
      <c r="Y38" s="1271"/>
      <c r="Z38" s="1271"/>
      <c r="AA38" s="1271"/>
      <c r="AB38" s="1271"/>
      <c r="AC38" s="1271" t="s">
        <v>199</v>
      </c>
      <c r="AD38" s="1271" t="s">
        <v>200</v>
      </c>
      <c r="AE38" s="1271" t="s">
        <v>201</v>
      </c>
      <c r="AF38" s="1271" t="s">
        <v>202</v>
      </c>
      <c r="AG38" s="1271" t="s">
        <v>203</v>
      </c>
      <c r="AH38" s="1271" t="str">
        <f>IF($E$38=0,"",$E$38)</f>
        <v>Тарифы на услуги по передаче тепловой энергии</v>
      </c>
      <c r="AI38" s="1271" t="str">
        <f>IF($G$38=0,"",$G$38)</f>
        <v/>
      </c>
      <c r="AJ38" s="1271" t="str">
        <f>IF($J$38=0,"",$J$38)</f>
        <v/>
      </c>
      <c r="AK38" s="1271" t="str">
        <f>IF($K$38="нет","без дифференциации",IF($N$38=0,"",$N$38))</f>
        <v/>
      </c>
      <c r="AL38" s="1271" t="str">
        <f>IF($O$38="нет","без дифференциации",IF($R$38=0,"",$R$38))</f>
        <v/>
      </c>
      <c r="AM38" s="1271" t="str">
        <f>IF($S$38="нет","без дифференциации",IF($V$38=0,"",$V$38))</f>
        <v/>
      </c>
      <c r="AN38" s="1776">
        <f>$I$38</f>
        <v>0</v>
      </c>
      <c r="AO38" s="1271" t="str">
        <f>$I$38&amp;"."&amp;$M$38</f>
        <v>.</v>
      </c>
      <c r="AP38" s="1263" t="str">
        <f>$I$38&amp;"."&amp;$M$38&amp;"."&amp;$Q$38</f>
        <v>..</v>
      </c>
      <c r="AQ38" s="1263" t="str">
        <f>$I$38&amp;"."&amp;$M$38&amp;"."&amp;$Q$38&amp;"."&amp;$U$38</f>
        <v>...</v>
      </c>
      <c r="AR38" s="1287">
        <v>0</v>
      </c>
    </row>
    <row s="1857" customFormat="1" customHeight="1" ht="17.25" hidden="1">
      <c r="A39" s="325"/>
      <c r="C39" s="324"/>
      <c r="D39" s="2139"/>
      <c r="E39" s="2147"/>
      <c r="F39" s="2150"/>
      <c r="G39" s="2147"/>
      <c r="H39" s="2153"/>
      <c r="I39" s="2155"/>
      <c r="J39" s="2157"/>
      <c r="K39" s="2142"/>
      <c r="L39" s="2142"/>
      <c r="M39" s="2142"/>
      <c r="N39" s="2144"/>
      <c r="O39" s="2142"/>
      <c r="P39" s="2142"/>
      <c r="Q39" s="2142"/>
      <c r="R39" s="2145"/>
      <c r="S39" s="2142"/>
      <c r="T39" s="1301"/>
      <c r="U39" s="1301"/>
      <c r="V39" s="1301"/>
      <c r="W39" s="1302"/>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87">
        <v>0</v>
      </c>
    </row>
    <row s="1857" customFormat="1" customHeight="1" ht="17.25" hidden="1">
      <c r="A40" s="325"/>
      <c r="C40" s="324"/>
      <c r="D40" s="2140"/>
      <c r="E40" s="2148"/>
      <c r="F40" s="2150"/>
      <c r="G40" s="2148"/>
      <c r="H40" s="2153"/>
      <c r="I40" s="2155"/>
      <c r="J40" s="2158"/>
      <c r="K40" s="2142"/>
      <c r="L40" s="2142"/>
      <c r="M40" s="2142"/>
      <c r="N40" s="2145"/>
      <c r="O40" s="2142"/>
      <c r="P40" s="1422"/>
      <c r="Q40" s="1301"/>
      <c r="R40" s="1301"/>
      <c r="S40" s="333"/>
      <c r="T40" s="333"/>
      <c r="U40" s="333"/>
      <c r="V40" s="333"/>
      <c r="W40" s="1302"/>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87">
        <v>0</v>
      </c>
    </row>
    <row s="1857" customFormat="1" customHeight="1" ht="17.25" hidden="1">
      <c r="A41" s="325"/>
      <c r="C41" s="324"/>
      <c r="D41" s="2140"/>
      <c r="E41" s="2148"/>
      <c r="F41" s="2150"/>
      <c r="G41" s="2148"/>
      <c r="H41" s="2153"/>
      <c r="I41" s="2155"/>
      <c r="J41" s="2158"/>
      <c r="K41" s="2142"/>
      <c r="L41" s="1301"/>
      <c r="M41" s="1301"/>
      <c r="N41" s="1301"/>
      <c r="O41" s="1301"/>
      <c r="P41" s="1301"/>
      <c r="Q41" s="1301"/>
      <c r="R41" s="1301"/>
      <c r="S41" s="333"/>
      <c r="T41" s="333"/>
      <c r="U41" s="333"/>
      <c r="V41" s="333"/>
      <c r="W41" s="1302"/>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87">
        <v>0</v>
      </c>
    </row>
    <row s="1857" customFormat="1" customHeight="1" ht="17.25" hidden="1">
      <c r="A42" s="325"/>
      <c r="C42" s="324"/>
      <c r="D42" s="2140"/>
      <c r="E42" s="2148"/>
      <c r="F42" s="2151"/>
      <c r="G42" s="2148"/>
      <c r="H42" s="1303"/>
      <c r="I42" s="1304"/>
      <c r="J42" s="1304"/>
      <c r="K42" s="1304"/>
      <c r="L42" s="1304"/>
      <c r="M42" s="1304"/>
      <c r="N42" s="1304"/>
      <c r="O42" s="1304"/>
      <c r="P42" s="1304"/>
      <c r="Q42" s="1304"/>
      <c r="R42" s="1304"/>
      <c r="S42" s="1305"/>
      <c r="T42" s="1305"/>
      <c r="U42" s="1305"/>
      <c r="V42" s="1305"/>
      <c r="W42" s="1306"/>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87">
        <v>0</v>
      </c>
    </row>
    <row s="1857" customFormat="1" customHeight="1" ht="17.25" hidden="1">
      <c r="A43" s="325"/>
      <c r="C43" s="213"/>
      <c r="D43" s="2139">
        <v>6</v>
      </c>
      <c r="E43" s="2147" t="s">
        <v>204</v>
      </c>
      <c r="F43" s="2149" t="s">
        <v>19</v>
      </c>
      <c r="G43" s="2147"/>
      <c r="H43" s="2152"/>
      <c r="I43" s="2154"/>
      <c r="J43" s="2156"/>
      <c r="K43" s="2141"/>
      <c r="L43" s="2141"/>
      <c r="M43" s="2141"/>
      <c r="N43" s="2143"/>
      <c r="O43" s="2141"/>
      <c r="P43" s="2141"/>
      <c r="Q43" s="2141"/>
      <c r="R43" s="2146"/>
      <c r="S43" s="2141"/>
      <c r="T43" s="1424"/>
      <c r="U43" s="1424"/>
      <c r="V43" s="1423"/>
      <c r="W43" s="1300"/>
      <c r="X43" s="1271"/>
      <c r="Y43" s="1271"/>
      <c r="Z43" s="1271"/>
      <c r="AA43" s="1271"/>
      <c r="AB43" s="1271"/>
      <c r="AC43" s="1271" t="s">
        <v>205</v>
      </c>
      <c r="AD43" s="1271" t="s">
        <v>206</v>
      </c>
      <c r="AE43" s="1271" t="s">
        <v>207</v>
      </c>
      <c r="AF43" s="1271" t="s">
        <v>208</v>
      </c>
      <c r="AG43" s="1271" t="s">
        <v>209</v>
      </c>
      <c r="AH43" s="1271" t="str">
        <f>IF($E$43=0,"",$E$43)</f>
        <v>Тарифы на услуги по передаче теплоносителя</v>
      </c>
      <c r="AI43" s="1271" t="str">
        <f>IF($G$43=0,"",$G$43)</f>
        <v/>
      </c>
      <c r="AJ43" s="1271" t="str">
        <f>IF($J$43=0,"",$J$43)</f>
        <v/>
      </c>
      <c r="AK43" s="1271" t="str">
        <f>IF($K$43="нет","без дифференциации",IF($N$43=0,"",$N$43))</f>
        <v/>
      </c>
      <c r="AL43" s="1271" t="str">
        <f>IF($O$43="нет","без дифференциации",IF($R$43=0,"",$R$43))</f>
        <v/>
      </c>
      <c r="AM43" s="1271" t="str">
        <f>IF($S$43="нет","без дифференциации",IF($V$43=0,"",$V$43))</f>
        <v/>
      </c>
      <c r="AN43" s="1776">
        <f>$I$43</f>
        <v>0</v>
      </c>
      <c r="AO43" s="1271" t="str">
        <f>$I$43&amp;"."&amp;$M$43</f>
        <v>.</v>
      </c>
      <c r="AP43" s="1263" t="str">
        <f>$I$43&amp;"."&amp;$M$43&amp;"."&amp;$Q$43</f>
        <v>..</v>
      </c>
      <c r="AQ43" s="1263" t="str">
        <f>$I$43&amp;"."&amp;$M$43&amp;"."&amp;$Q$43&amp;"."&amp;$U$43</f>
        <v>...</v>
      </c>
      <c r="AR43" s="1287">
        <v>0</v>
      </c>
    </row>
    <row s="1857" customFormat="1" customHeight="1" ht="17.25" hidden="1">
      <c r="A44" s="325"/>
      <c r="C44" s="324"/>
      <c r="D44" s="2139"/>
      <c r="E44" s="2147"/>
      <c r="F44" s="2150"/>
      <c r="G44" s="2147"/>
      <c r="H44" s="2153"/>
      <c r="I44" s="2155"/>
      <c r="J44" s="2157"/>
      <c r="K44" s="2142"/>
      <c r="L44" s="2142"/>
      <c r="M44" s="2142"/>
      <c r="N44" s="2144"/>
      <c r="O44" s="2142"/>
      <c r="P44" s="2142"/>
      <c r="Q44" s="2142"/>
      <c r="R44" s="2145"/>
      <c r="S44" s="2142"/>
      <c r="T44" s="1301"/>
      <c r="U44" s="1301"/>
      <c r="V44" s="1301"/>
      <c r="W44" s="1302"/>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87">
        <v>0</v>
      </c>
    </row>
    <row s="1857" customFormat="1" customHeight="1" ht="17.25" hidden="1">
      <c r="A45" s="325"/>
      <c r="C45" s="324"/>
      <c r="D45" s="2140"/>
      <c r="E45" s="2148"/>
      <c r="F45" s="2150"/>
      <c r="G45" s="2148"/>
      <c r="H45" s="2153"/>
      <c r="I45" s="2155"/>
      <c r="J45" s="2158"/>
      <c r="K45" s="2142"/>
      <c r="L45" s="2142"/>
      <c r="M45" s="2142"/>
      <c r="N45" s="2145"/>
      <c r="O45" s="2142"/>
      <c r="P45" s="1422"/>
      <c r="Q45" s="1301"/>
      <c r="R45" s="1301"/>
      <c r="S45" s="333"/>
      <c r="T45" s="333"/>
      <c r="U45" s="333"/>
      <c r="V45" s="333"/>
      <c r="W45" s="1302"/>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87">
        <v>0</v>
      </c>
    </row>
    <row s="1857" customFormat="1" customHeight="1" ht="17.25" hidden="1">
      <c r="A46" s="325"/>
      <c r="C46" s="213"/>
      <c r="D46" s="2140"/>
      <c r="E46" s="2148"/>
      <c r="F46" s="2150"/>
      <c r="G46" s="2148"/>
      <c r="H46" s="2153"/>
      <c r="I46" s="2155"/>
      <c r="J46" s="2158"/>
      <c r="K46" s="2142"/>
      <c r="L46" s="1301"/>
      <c r="M46" s="1301"/>
      <c r="N46" s="1301"/>
      <c r="O46" s="1301"/>
      <c r="P46" s="1301"/>
      <c r="Q46" s="1301"/>
      <c r="R46" s="1301"/>
      <c r="S46" s="333"/>
      <c r="T46" s="333"/>
      <c r="U46" s="333"/>
      <c r="V46" s="333"/>
      <c r="W46" s="1302"/>
      <c r="Y46" s="1271"/>
      <c r="Z46" s="1271"/>
      <c r="AA46" s="1271"/>
      <c r="AB46" s="1271"/>
      <c r="AC46" s="1271"/>
      <c r="AD46" s="1271"/>
      <c r="AE46" s="1271"/>
      <c r="AF46" s="1271"/>
      <c r="AG46" s="1271"/>
      <c r="AH46" s="1271"/>
      <c r="AI46" s="1271"/>
      <c r="AJ46" s="1271"/>
      <c r="AK46" s="1271"/>
      <c r="AL46" s="1271"/>
      <c r="AM46" s="1271"/>
      <c r="AN46" s="1271"/>
      <c r="AO46" s="1271"/>
      <c r="AP46" s="1271"/>
      <c r="AQ46" s="1271"/>
      <c r="AR46" s="1330">
        <v>0</v>
      </c>
    </row>
    <row s="1857" customFormat="1" customHeight="1" ht="17.25" hidden="1">
      <c r="A47" s="325"/>
      <c r="C47" s="324"/>
      <c r="D47" s="2140"/>
      <c r="E47" s="2148"/>
      <c r="F47" s="2151"/>
      <c r="G47" s="2148"/>
      <c r="H47" s="1303"/>
      <c r="I47" s="1304"/>
      <c r="J47" s="1304"/>
      <c r="K47" s="1304"/>
      <c r="L47" s="1304"/>
      <c r="M47" s="1304"/>
      <c r="N47" s="1304"/>
      <c r="O47" s="1304"/>
      <c r="P47" s="1304"/>
      <c r="Q47" s="1304"/>
      <c r="R47" s="1304"/>
      <c r="S47" s="1305"/>
      <c r="T47" s="1305"/>
      <c r="U47" s="1305"/>
      <c r="V47" s="1305"/>
      <c r="W47" s="1306"/>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87">
        <v>0</v>
      </c>
    </row>
    <row s="1857" customFormat="1" customHeight="1" ht="17.25" hidden="1">
      <c r="A48" s="325"/>
      <c r="C48" s="213"/>
      <c r="D48" s="2170">
        <v>7</v>
      </c>
      <c r="E48" s="2173" t="s">
        <v>210</v>
      </c>
      <c r="F48" s="2149" t="s">
        <v>19</v>
      </c>
      <c r="G48" s="2173"/>
      <c r="H48" s="2152"/>
      <c r="I48" s="2154"/>
      <c r="J48" s="2156"/>
      <c r="K48" s="2141"/>
      <c r="L48" s="2141"/>
      <c r="M48" s="2141"/>
      <c r="N48" s="2143"/>
      <c r="O48" s="2141"/>
      <c r="P48" s="2141"/>
      <c r="Q48" s="2141"/>
      <c r="R48" s="2146"/>
      <c r="S48" s="2141"/>
      <c r="T48" s="1424"/>
      <c r="U48" s="1424"/>
      <c r="V48" s="1423"/>
      <c r="W48" s="1300"/>
      <c r="X48" s="1271"/>
      <c r="Y48" s="1271"/>
      <c r="Z48" s="1271"/>
      <c r="AA48" s="1271"/>
      <c r="AB48" s="1271"/>
      <c r="AC48" s="1271" t="s">
        <v>211</v>
      </c>
      <c r="AD48" s="1271" t="s">
        <v>212</v>
      </c>
      <c r="AE48" s="1271" t="s">
        <v>213</v>
      </c>
      <c r="AF48" s="1271" t="s">
        <v>214</v>
      </c>
      <c r="AG48" s="1271" t="s">
        <v>215</v>
      </c>
      <c r="AH48" s="1271" t="str">
        <f>IF($E$48=0,"",$E$48)</f>
        <v>Плата за услуги по поддержанию резервной тепловой мощности при отсутствии потребления тепловой энергии</v>
      </c>
      <c r="AI48" s="1271" t="str">
        <f>IF($G$48=0,"",$G$48)</f>
        <v/>
      </c>
      <c r="AJ48" s="1271" t="str">
        <f>IF($J$48=0,"",$J$48)</f>
        <v/>
      </c>
      <c r="AK48" s="1271" t="str">
        <f>IF($K$48="нет","без дифференциации",IF($N$48=0,"",$N$48))</f>
        <v/>
      </c>
      <c r="AL48" s="1271" t="str">
        <f>IF($O$48="нет","без дифференциации",IF($R$48=0,"",$R$48))</f>
        <v/>
      </c>
      <c r="AM48" s="1271" t="str">
        <f>IF($S$48="нет","без дифференциации",IF($V$48=0,"",$V$48))</f>
        <v/>
      </c>
      <c r="AN48" s="1776">
        <f>$I$48</f>
        <v>0</v>
      </c>
      <c r="AO48" s="1271" t="str">
        <f>$I$48&amp;"."&amp;$M$48</f>
        <v>.</v>
      </c>
      <c r="AP48" s="1263" t="str">
        <f>$I$48&amp;"."&amp;$M$48&amp;"."&amp;$Q$48</f>
        <v>..</v>
      </c>
      <c r="AQ48" s="1263" t="str">
        <f>$I$48&amp;"."&amp;$M$48&amp;"."&amp;$Q$48&amp;"."&amp;$U$48</f>
        <v>...</v>
      </c>
      <c r="AR48" s="1312">
        <v>0</v>
      </c>
    </row>
    <row s="1857" customFormat="1" customHeight="1" ht="17.25" hidden="1">
      <c r="A49" s="325"/>
      <c r="C49" s="324"/>
      <c r="D49" s="2171"/>
      <c r="E49" s="2174"/>
      <c r="F49" s="2150"/>
      <c r="G49" s="2174"/>
      <c r="H49" s="2153"/>
      <c r="I49" s="2155"/>
      <c r="J49" s="2157"/>
      <c r="K49" s="2142"/>
      <c r="L49" s="2142"/>
      <c r="M49" s="2142"/>
      <c r="N49" s="2144"/>
      <c r="O49" s="2142"/>
      <c r="P49" s="2142"/>
      <c r="Q49" s="2142"/>
      <c r="R49" s="2145"/>
      <c r="S49" s="2142"/>
      <c r="T49" s="1301"/>
      <c r="U49" s="1301"/>
      <c r="V49" s="1301"/>
      <c r="W49" s="1302"/>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312">
        <v>0</v>
      </c>
    </row>
    <row s="1857" customFormat="1" customHeight="1" ht="17.25" hidden="1">
      <c r="A50" s="325"/>
      <c r="C50" s="324"/>
      <c r="D50" s="2171"/>
      <c r="E50" s="2174"/>
      <c r="F50" s="2150"/>
      <c r="G50" s="2174"/>
      <c r="H50" s="2153"/>
      <c r="I50" s="2155"/>
      <c r="J50" s="2158"/>
      <c r="K50" s="2142"/>
      <c r="L50" s="2142"/>
      <c r="M50" s="2142"/>
      <c r="N50" s="2145"/>
      <c r="O50" s="2142"/>
      <c r="P50" s="1422"/>
      <c r="Q50" s="1301"/>
      <c r="R50" s="1301"/>
      <c r="S50" s="333"/>
      <c r="T50" s="333"/>
      <c r="U50" s="333"/>
      <c r="V50" s="333"/>
      <c r="W50" s="1302"/>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312">
        <v>0</v>
      </c>
    </row>
    <row s="1857" customFormat="1" customHeight="1" ht="17.25" hidden="1">
      <c r="A51" s="325"/>
      <c r="C51" s="213"/>
      <c r="D51" s="2171"/>
      <c r="E51" s="2174"/>
      <c r="F51" s="2150"/>
      <c r="G51" s="2174"/>
      <c r="H51" s="2153"/>
      <c r="I51" s="2155"/>
      <c r="J51" s="2158"/>
      <c r="K51" s="2142"/>
      <c r="L51" s="1301"/>
      <c r="M51" s="1301"/>
      <c r="N51" s="1301"/>
      <c r="O51" s="1301"/>
      <c r="P51" s="1301"/>
      <c r="Q51" s="1301"/>
      <c r="R51" s="1301"/>
      <c r="S51" s="333"/>
      <c r="T51" s="333"/>
      <c r="U51" s="333"/>
      <c r="V51" s="333"/>
      <c r="W51" s="1302"/>
      <c r="Y51" s="1271"/>
      <c r="Z51" s="1271"/>
      <c r="AA51" s="1271"/>
      <c r="AB51" s="1271"/>
      <c r="AC51" s="1271"/>
      <c r="AD51" s="1271"/>
      <c r="AE51" s="1271"/>
      <c r="AF51" s="1271"/>
      <c r="AG51" s="1271"/>
      <c r="AH51" s="1271"/>
      <c r="AI51" s="1271"/>
      <c r="AJ51" s="1271"/>
      <c r="AK51" s="1271"/>
      <c r="AL51" s="1271"/>
      <c r="AM51" s="1271"/>
      <c r="AN51" s="1271"/>
      <c r="AO51" s="1271"/>
      <c r="AP51" s="1271"/>
      <c r="AQ51" s="1271"/>
      <c r="AR51" s="1330">
        <v>0</v>
      </c>
    </row>
    <row s="1857" customFormat="1" customHeight="1" ht="17.25" hidden="1">
      <c r="A52" s="325"/>
      <c r="C52" s="324"/>
      <c r="D52" s="2172"/>
      <c r="E52" s="2175"/>
      <c r="F52" s="2151"/>
      <c r="G52" s="2175"/>
      <c r="H52" s="1303"/>
      <c r="I52" s="1304"/>
      <c r="J52" s="1304"/>
      <c r="K52" s="1304"/>
      <c r="L52" s="1304"/>
      <c r="M52" s="1304"/>
      <c r="N52" s="1304"/>
      <c r="O52" s="1304"/>
      <c r="P52" s="1304"/>
      <c r="Q52" s="1304"/>
      <c r="R52" s="1304"/>
      <c r="S52" s="1305"/>
      <c r="T52" s="1305"/>
      <c r="U52" s="1305"/>
      <c r="V52" s="1305"/>
      <c r="W52" s="1306"/>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312">
        <v>0</v>
      </c>
    </row>
    <row s="1857" customFormat="1" customHeight="1" ht="17.25" hidden="1">
      <c r="A53" s="325"/>
      <c r="C53" s="213"/>
      <c r="D53" s="2139">
        <v>8</v>
      </c>
      <c r="E53" s="2147" t="s">
        <v>216</v>
      </c>
      <c r="F53" s="2149" t="s">
        <v>19</v>
      </c>
      <c r="G53" s="2147"/>
      <c r="H53" s="2152"/>
      <c r="I53" s="2154"/>
      <c r="J53" s="2156"/>
      <c r="K53" s="2141"/>
      <c r="L53" s="2141"/>
      <c r="M53" s="2141"/>
      <c r="N53" s="2143"/>
      <c r="O53" s="2141"/>
      <c r="P53" s="2141"/>
      <c r="Q53" s="2141"/>
      <c r="R53" s="2146"/>
      <c r="S53" s="2141"/>
      <c r="T53" s="1474"/>
      <c r="U53" s="1474"/>
      <c r="V53" s="1476"/>
      <c r="W53" s="1300"/>
      <c r="X53" s="1271"/>
      <c r="Y53" s="1271"/>
      <c r="Z53" s="1271"/>
      <c r="AA53" s="1271"/>
      <c r="AB53" s="1271"/>
      <c r="AC53" s="1271" t="s">
        <v>217</v>
      </c>
      <c r="AD53" s="1271" t="s">
        <v>218</v>
      </c>
      <c r="AE53" s="1271" t="s">
        <v>219</v>
      </c>
      <c r="AF53" s="1271" t="s">
        <v>220</v>
      </c>
      <c r="AG53" s="1271" t="s">
        <v>221</v>
      </c>
      <c r="AH53" s="1271" t="str">
        <f>IF($E$53=0,"",$E$53)</f>
        <v>Плата за подключение (технологическое присоединение) к системе теплоснабжения</v>
      </c>
      <c r="AI53" s="1271" t="str">
        <f>IF($G$53=0,"",$G$53)</f>
        <v/>
      </c>
      <c r="AJ53" s="1271" t="str">
        <f>IF($J$53=0,"",$J$53)</f>
        <v/>
      </c>
      <c r="AK53" s="1271" t="str">
        <f>IF($K$53="нет","без дифференциации",IF($N$53=0,"",$N$53))</f>
        <v/>
      </c>
      <c r="AL53" s="1271" t="str">
        <f>IF($O$53="нет","без дифференциации",IF($R$53=0,"",$R$53))</f>
        <v/>
      </c>
      <c r="AM53" s="1271" t="str">
        <f>IF($S$53="нет","без дифференциации",IF($V$53=0,"",$V$53))</f>
        <v/>
      </c>
      <c r="AN53" s="1776">
        <f>$I$53</f>
        <v>0</v>
      </c>
      <c r="AO53" s="1271" t="str">
        <f>$I$53&amp;"."&amp;$M$53</f>
        <v>.</v>
      </c>
      <c r="AP53" s="1263" t="str">
        <f>$I$53&amp;"."&amp;$M$53&amp;"."&amp;$Q$53</f>
        <v>..</v>
      </c>
      <c r="AQ53" s="1263" t="str">
        <f>$I$53&amp;"."&amp;$M$53&amp;"."&amp;$Q$53&amp;"."&amp;$U$53</f>
        <v>...</v>
      </c>
      <c r="AR53" s="1312">
        <v>0</v>
      </c>
    </row>
    <row s="1857" customFormat="1" customHeight="1" ht="17.25" hidden="1">
      <c r="A54" s="325"/>
      <c r="C54" s="324"/>
      <c r="D54" s="2139"/>
      <c r="E54" s="2147"/>
      <c r="F54" s="2150"/>
      <c r="G54" s="2147"/>
      <c r="H54" s="2153"/>
      <c r="I54" s="2155"/>
      <c r="J54" s="2157"/>
      <c r="K54" s="2142"/>
      <c r="L54" s="2142"/>
      <c r="M54" s="2142"/>
      <c r="N54" s="2144"/>
      <c r="O54" s="2142"/>
      <c r="P54" s="2142"/>
      <c r="Q54" s="2142"/>
      <c r="R54" s="2145"/>
      <c r="S54" s="2142"/>
      <c r="T54" s="1301"/>
      <c r="U54" s="1301"/>
      <c r="V54" s="1301"/>
      <c r="W54" s="1302"/>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312">
        <v>0</v>
      </c>
    </row>
    <row s="1857" customFormat="1" customHeight="1" ht="17.25" hidden="1">
      <c r="A55" s="325"/>
      <c r="C55" s="324"/>
      <c r="D55" s="2140"/>
      <c r="E55" s="2148"/>
      <c r="F55" s="2150"/>
      <c r="G55" s="2148"/>
      <c r="H55" s="2153"/>
      <c r="I55" s="2155"/>
      <c r="J55" s="2158"/>
      <c r="K55" s="2142"/>
      <c r="L55" s="2142"/>
      <c r="M55" s="2142"/>
      <c r="N55" s="2145"/>
      <c r="O55" s="2142"/>
      <c r="P55" s="1475"/>
      <c r="Q55" s="1301"/>
      <c r="R55" s="1301"/>
      <c r="S55" s="333"/>
      <c r="T55" s="333"/>
      <c r="U55" s="333"/>
      <c r="V55" s="333"/>
      <c r="W55" s="1302"/>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312">
        <v>0</v>
      </c>
    </row>
    <row s="1857" customFormat="1" customHeight="1" ht="17.25" hidden="1">
      <c r="A56" s="325"/>
      <c r="C56" s="213"/>
      <c r="D56" s="2140"/>
      <c r="E56" s="2148"/>
      <c r="F56" s="2150"/>
      <c r="G56" s="2148"/>
      <c r="H56" s="2153"/>
      <c r="I56" s="2155"/>
      <c r="J56" s="2158"/>
      <c r="K56" s="2142"/>
      <c r="L56" s="1301"/>
      <c r="M56" s="1301"/>
      <c r="N56" s="1301"/>
      <c r="O56" s="1301"/>
      <c r="P56" s="1301"/>
      <c r="Q56" s="1301"/>
      <c r="R56" s="1301"/>
      <c r="S56" s="333"/>
      <c r="T56" s="333"/>
      <c r="U56" s="333"/>
      <c r="V56" s="333"/>
      <c r="W56" s="1302"/>
      <c r="Y56" s="1271"/>
      <c r="Z56" s="1271"/>
      <c r="AA56" s="1271"/>
      <c r="AB56" s="1271"/>
      <c r="AC56" s="1271"/>
      <c r="AD56" s="1271"/>
      <c r="AE56" s="1271"/>
      <c r="AF56" s="1271"/>
      <c r="AG56" s="1271"/>
      <c r="AH56" s="1271"/>
      <c r="AI56" s="1271"/>
      <c r="AJ56" s="1271"/>
      <c r="AK56" s="1271"/>
      <c r="AL56" s="1271"/>
      <c r="AM56" s="1271"/>
      <c r="AN56" s="1271"/>
      <c r="AO56" s="1271"/>
      <c r="AP56" s="1271"/>
      <c r="AQ56" s="1271"/>
      <c r="AR56" s="1330">
        <v>0</v>
      </c>
    </row>
    <row s="1857" customFormat="1" customHeight="1" ht="17.25" hidden="1">
      <c r="A57" s="325"/>
      <c r="C57" s="324"/>
      <c r="D57" s="2140"/>
      <c r="E57" s="2148"/>
      <c r="F57" s="2151"/>
      <c r="G57" s="2148"/>
      <c r="H57" s="1303"/>
      <c r="I57" s="1304"/>
      <c r="J57" s="1304"/>
      <c r="K57" s="1304"/>
      <c r="L57" s="1304"/>
      <c r="M57" s="1304"/>
      <c r="N57" s="1304"/>
      <c r="O57" s="1304"/>
      <c r="P57" s="1304"/>
      <c r="Q57" s="1304"/>
      <c r="R57" s="1304"/>
      <c r="S57" s="1305"/>
      <c r="T57" s="1305"/>
      <c r="U57" s="1305"/>
      <c r="V57" s="1305"/>
      <c r="W57" s="1306"/>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312">
        <v>0</v>
      </c>
    </row>
    <row s="1857" customFormat="1" customHeight="1" ht="17.25" hidden="1">
      <c r="A58" s="325"/>
      <c r="C58" s="213"/>
      <c r="D58" s="2139">
        <v>9</v>
      </c>
      <c r="E58" s="2147" t="s">
        <v>222</v>
      </c>
      <c r="F58" s="2149" t="s">
        <v>19</v>
      </c>
      <c r="G58" s="2147"/>
      <c r="H58" s="2152"/>
      <c r="I58" s="2154"/>
      <c r="J58" s="2156"/>
      <c r="K58" s="2141"/>
      <c r="L58" s="2141"/>
      <c r="M58" s="2141"/>
      <c r="N58" s="2143"/>
      <c r="O58" s="2141"/>
      <c r="P58" s="2141"/>
      <c r="Q58" s="2141"/>
      <c r="R58" s="2146"/>
      <c r="S58" s="2141"/>
      <c r="T58" s="1935"/>
      <c r="U58" s="1935"/>
      <c r="V58" s="1937"/>
      <c r="W58" s="1300"/>
      <c r="X58" s="1271"/>
      <c r="Y58" s="1271"/>
      <c r="Z58" s="1271"/>
      <c r="AA58" s="1271"/>
      <c r="AB58" s="1271"/>
      <c r="AC58" s="1271" t="s">
        <v>223</v>
      </c>
      <c r="AD58" s="1271" t="s">
        <v>224</v>
      </c>
      <c r="AE58" s="1271" t="s">
        <v>225</v>
      </c>
      <c r="AF58" s="1271" t="s">
        <v>226</v>
      </c>
      <c r="AG58" s="1271" t="s">
        <v>227</v>
      </c>
      <c r="AH58" s="1271" t="str">
        <f>IF($E$58=0,"",$E$58)</f>
        <v>Плата за подключение (технологическое присоединение) к системе теплоснабжения (индивидуальная)</v>
      </c>
      <c r="AI58" s="1271" t="str">
        <f>IF($G$58=0,"",$G$58)</f>
        <v/>
      </c>
      <c r="AJ58" s="1271" t="str">
        <f>IF($J$58=0,"",$J$58)</f>
        <v/>
      </c>
      <c r="AK58" s="1271" t="str">
        <f>IF($K$58="нет","без дифференциации",IF($N$58=0,"",$N$58))</f>
        <v/>
      </c>
      <c r="AL58" s="1271" t="str">
        <f>IF($O$58="нет","без дифференциации",IF($R$58=0,"",$R$58))</f>
        <v/>
      </c>
      <c r="AM58" s="1271" t="str">
        <f>IF($S$58="нет","без дифференциации",IF($V$58=0,"",$V$58))</f>
        <v/>
      </c>
      <c r="AN58" s="1776">
        <f>$I$58</f>
        <v>0</v>
      </c>
      <c r="AO58" s="1271" t="str">
        <f>$I$58&amp;"."&amp;$M$58</f>
        <v>.</v>
      </c>
      <c r="AP58" s="1270" t="str">
        <f>$I$58&amp;"."&amp;$M$58&amp;"."&amp;$Q$58</f>
        <v>..</v>
      </c>
      <c r="AQ58" s="1270" t="str">
        <f>$I$58&amp;"."&amp;$M$58&amp;"."&amp;$Q$58&amp;"."&amp;$U$58</f>
        <v>...</v>
      </c>
      <c r="AR58" s="1471">
        <v>0</v>
      </c>
    </row>
    <row s="1857" customFormat="1" customHeight="1" ht="17.25" hidden="1">
      <c r="A59" s="325"/>
      <c r="C59" s="324"/>
      <c r="D59" s="2139"/>
      <c r="E59" s="2147"/>
      <c r="F59" s="2150"/>
      <c r="G59" s="2147"/>
      <c r="H59" s="2153"/>
      <c r="I59" s="2155"/>
      <c r="J59" s="2157"/>
      <c r="K59" s="2142"/>
      <c r="L59" s="2142"/>
      <c r="M59" s="2142"/>
      <c r="N59" s="2144"/>
      <c r="O59" s="2142"/>
      <c r="P59" s="2142"/>
      <c r="Q59" s="2142"/>
      <c r="R59" s="2145"/>
      <c r="S59" s="2142"/>
      <c r="T59" s="1938"/>
      <c r="U59" s="1938"/>
      <c r="V59" s="1938"/>
      <c r="W59" s="1939"/>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471">
        <v>0</v>
      </c>
    </row>
    <row s="1857" customFormat="1" customHeight="1" ht="17.25" hidden="1">
      <c r="A60" s="325"/>
      <c r="C60" s="324"/>
      <c r="D60" s="2140"/>
      <c r="E60" s="2148"/>
      <c r="F60" s="2150"/>
      <c r="G60" s="2148"/>
      <c r="H60" s="2153"/>
      <c r="I60" s="2155"/>
      <c r="J60" s="2158"/>
      <c r="K60" s="2142"/>
      <c r="L60" s="2142"/>
      <c r="M60" s="2142"/>
      <c r="N60" s="2145"/>
      <c r="O60" s="2142"/>
      <c r="P60" s="1936"/>
      <c r="Q60" s="1938"/>
      <c r="R60" s="1938"/>
      <c r="S60" s="333"/>
      <c r="T60" s="333"/>
      <c r="U60" s="333"/>
      <c r="V60" s="333"/>
      <c r="W60" s="1939"/>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471">
        <v>0</v>
      </c>
    </row>
    <row s="1857" customFormat="1" customHeight="1" ht="17.25" hidden="1">
      <c r="A61" s="325"/>
      <c r="C61" s="213"/>
      <c r="D61" s="2140"/>
      <c r="E61" s="2148"/>
      <c r="F61" s="2150"/>
      <c r="G61" s="2148"/>
      <c r="H61" s="2153"/>
      <c r="I61" s="2155"/>
      <c r="J61" s="2158"/>
      <c r="K61" s="2142"/>
      <c r="L61" s="1938"/>
      <c r="M61" s="1938"/>
      <c r="N61" s="1938"/>
      <c r="O61" s="1938"/>
      <c r="P61" s="1938"/>
      <c r="Q61" s="1938"/>
      <c r="R61" s="1938"/>
      <c r="S61" s="333"/>
      <c r="T61" s="333"/>
      <c r="U61" s="333"/>
      <c r="V61" s="333"/>
      <c r="W61" s="1939"/>
      <c r="Y61" s="1271"/>
      <c r="Z61" s="1271"/>
      <c r="AA61" s="1271"/>
      <c r="AB61" s="1271"/>
      <c r="AC61" s="1271"/>
      <c r="AD61" s="1271"/>
      <c r="AE61" s="1271"/>
      <c r="AF61" s="1271"/>
      <c r="AG61" s="1271"/>
      <c r="AH61" s="1271"/>
      <c r="AI61" s="1271"/>
      <c r="AJ61" s="1271"/>
      <c r="AK61" s="1271"/>
      <c r="AL61" s="1271"/>
      <c r="AM61" s="1271"/>
      <c r="AN61" s="1271"/>
      <c r="AO61" s="1271"/>
      <c r="AP61" s="1271"/>
      <c r="AQ61" s="1271"/>
      <c r="AR61" s="1471">
        <v>0</v>
      </c>
    </row>
    <row s="1857" customFormat="1" customHeight="1" ht="17.25" hidden="1">
      <c r="A62" s="325"/>
      <c r="C62" s="324"/>
      <c r="D62" s="2140"/>
      <c r="E62" s="2148"/>
      <c r="F62" s="2151"/>
      <c r="G62" s="2148"/>
      <c r="H62" s="1303"/>
      <c r="I62" s="1940"/>
      <c r="J62" s="1940"/>
      <c r="K62" s="1940"/>
      <c r="L62" s="1940"/>
      <c r="M62" s="1940"/>
      <c r="N62" s="1940"/>
      <c r="O62" s="1940"/>
      <c r="P62" s="1940"/>
      <c r="Q62" s="1940"/>
      <c r="R62" s="1940"/>
      <c r="S62" s="1305"/>
      <c r="T62" s="1305"/>
      <c r="U62" s="1305"/>
      <c r="V62" s="1305"/>
      <c r="W62" s="1941"/>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471">
        <v>0</v>
      </c>
    </row>
    <row s="1857" customFormat="1" customHeight="1" ht="17.25" hidden="1">
      <c r="A63" s="325"/>
      <c r="C63" s="213"/>
      <c r="D63" s="2139">
        <v>10</v>
      </c>
      <c r="E63" s="2147" t="s">
        <v>228</v>
      </c>
      <c r="F63" s="2149" t="s">
        <v>19</v>
      </c>
      <c r="G63" s="2147"/>
      <c r="H63" s="2152"/>
      <c r="I63" s="2154"/>
      <c r="J63" s="2156"/>
      <c r="K63" s="2141"/>
      <c r="L63" s="2141"/>
      <c r="M63" s="2141"/>
      <c r="N63" s="2143"/>
      <c r="O63" s="2141"/>
      <c r="P63" s="2141"/>
      <c r="Q63" s="2141"/>
      <c r="R63" s="2146"/>
      <c r="S63" s="2141"/>
      <c r="T63" s="1935"/>
      <c r="U63" s="1935"/>
      <c r="V63" s="1937"/>
      <c r="W63" s="1300"/>
      <c r="X63" s="1271"/>
      <c r="Y63" s="1271"/>
      <c r="Z63" s="1271"/>
      <c r="AA63" s="1271"/>
      <c r="AB63" s="1271"/>
      <c r="AC63" s="1271" t="s">
        <v>229</v>
      </c>
      <c r="AD63" s="1271" t="s">
        <v>230</v>
      </c>
      <c r="AE63" s="1271" t="s">
        <v>231</v>
      </c>
      <c r="AF63" s="1271" t="s">
        <v>232</v>
      </c>
      <c r="AG63" s="1271" t="s">
        <v>233</v>
      </c>
      <c r="AH63" s="1271" t="str">
        <f>IF($E$63=0,"",$E$63)</f>
        <v>Предельный уровень цены на тепловую энергию (мощность), поставляемую теплоснабжающими организациями потребителям</v>
      </c>
      <c r="AI63" s="1271" t="str">
        <f>IF($G$63=0,"",$G$63)</f>
        <v/>
      </c>
      <c r="AJ63" s="1271" t="str">
        <f>IF($J$63=0,"",$J$63)</f>
        <v/>
      </c>
      <c r="AK63" s="1271" t="str">
        <f>IF($K$63="нет","без дифференциации",IF($N$63=0,"",$N$63))</f>
        <v/>
      </c>
      <c r="AL63" s="1271" t="str">
        <f>IF($O$63="нет","без дифференциации",IF($R$63=0,"",$R$63))</f>
        <v/>
      </c>
      <c r="AM63" s="1271" t="str">
        <f>IF($S$63="нет","без дифференциации",IF($V$63=0,"",$V$63))</f>
        <v/>
      </c>
      <c r="AN63" s="1776">
        <f>$I$63</f>
        <v>0</v>
      </c>
      <c r="AO63" s="1271" t="str">
        <f>$I$63&amp;"."&amp;$M$63</f>
        <v>.</v>
      </c>
      <c r="AP63" s="1270" t="str">
        <f>$I$63&amp;"."&amp;$M$63&amp;"."&amp;$Q$63</f>
        <v>..</v>
      </c>
      <c r="AQ63" s="1270" t="str">
        <f>$I$63&amp;"."&amp;$M$63&amp;"."&amp;$Q$63&amp;"."&amp;$U$63</f>
        <v>...</v>
      </c>
      <c r="AR63" s="1471">
        <v>0</v>
      </c>
    </row>
    <row s="1857" customFormat="1" customHeight="1" ht="17.25" hidden="1">
      <c r="A64" s="325"/>
      <c r="C64" s="324"/>
      <c r="D64" s="2139"/>
      <c r="E64" s="2147"/>
      <c r="F64" s="2150"/>
      <c r="G64" s="2147"/>
      <c r="H64" s="2153"/>
      <c r="I64" s="2155"/>
      <c r="J64" s="2157"/>
      <c r="K64" s="2142"/>
      <c r="L64" s="2142"/>
      <c r="M64" s="2142"/>
      <c r="N64" s="2144"/>
      <c r="O64" s="2142"/>
      <c r="P64" s="2142"/>
      <c r="Q64" s="2142"/>
      <c r="R64" s="2145"/>
      <c r="S64" s="2142"/>
      <c r="T64" s="1938"/>
      <c r="U64" s="1938"/>
      <c r="V64" s="1938"/>
      <c r="W64" s="1939"/>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471">
        <v>0</v>
      </c>
    </row>
    <row s="1857" customFormat="1" customHeight="1" ht="17.25" hidden="1">
      <c r="A65" s="325"/>
      <c r="C65" s="324"/>
      <c r="D65" s="2140"/>
      <c r="E65" s="2148"/>
      <c r="F65" s="2150"/>
      <c r="G65" s="2148"/>
      <c r="H65" s="2153"/>
      <c r="I65" s="2155"/>
      <c r="J65" s="2158"/>
      <c r="K65" s="2142"/>
      <c r="L65" s="2142"/>
      <c r="M65" s="2142"/>
      <c r="N65" s="2145"/>
      <c r="O65" s="2142"/>
      <c r="P65" s="1936"/>
      <c r="Q65" s="1938"/>
      <c r="R65" s="1938"/>
      <c r="S65" s="333"/>
      <c r="T65" s="333"/>
      <c r="U65" s="333"/>
      <c r="V65" s="333"/>
      <c r="W65" s="1939"/>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471">
        <v>0</v>
      </c>
    </row>
    <row s="1857" customFormat="1" customHeight="1" ht="17.25" hidden="1">
      <c r="A66" s="325"/>
      <c r="C66" s="213"/>
      <c r="D66" s="2140"/>
      <c r="E66" s="2148"/>
      <c r="F66" s="2150"/>
      <c r="G66" s="2148"/>
      <c r="H66" s="2153"/>
      <c r="I66" s="2155"/>
      <c r="J66" s="2158"/>
      <c r="K66" s="2142"/>
      <c r="L66" s="1938"/>
      <c r="M66" s="1938"/>
      <c r="N66" s="1938"/>
      <c r="O66" s="1938"/>
      <c r="P66" s="1938"/>
      <c r="Q66" s="1938"/>
      <c r="R66" s="1938"/>
      <c r="S66" s="333"/>
      <c r="T66" s="333"/>
      <c r="U66" s="333"/>
      <c r="V66" s="333"/>
      <c r="W66" s="1939"/>
      <c r="Y66" s="1271"/>
      <c r="Z66" s="1271"/>
      <c r="AA66" s="1271"/>
      <c r="AB66" s="1271"/>
      <c r="AC66" s="1271"/>
      <c r="AD66" s="1271"/>
      <c r="AE66" s="1271"/>
      <c r="AF66" s="1271"/>
      <c r="AG66" s="1271"/>
      <c r="AH66" s="1271"/>
      <c r="AI66" s="1271"/>
      <c r="AJ66" s="1271"/>
      <c r="AK66" s="1271"/>
      <c r="AL66" s="1271"/>
      <c r="AM66" s="1271"/>
      <c r="AN66" s="1271"/>
      <c r="AO66" s="1271"/>
      <c r="AP66" s="1271"/>
      <c r="AQ66" s="1271"/>
      <c r="AR66" s="1471">
        <v>0</v>
      </c>
    </row>
    <row s="1857" customFormat="1" customHeight="1" ht="17.25" hidden="1">
      <c r="A67" s="325"/>
      <c r="C67" s="324"/>
      <c r="D67" s="2140"/>
      <c r="E67" s="2148"/>
      <c r="F67" s="2151"/>
      <c r="G67" s="2148"/>
      <c r="H67" s="1303"/>
      <c r="I67" s="1940"/>
      <c r="J67" s="1940"/>
      <c r="K67" s="1940"/>
      <c r="L67" s="1940"/>
      <c r="M67" s="1940"/>
      <c r="N67" s="1940"/>
      <c r="O67" s="1940"/>
      <c r="P67" s="1940"/>
      <c r="Q67" s="1940"/>
      <c r="R67" s="1940"/>
      <c r="S67" s="1305"/>
      <c r="T67" s="1305"/>
      <c r="U67" s="1305"/>
      <c r="V67" s="1305"/>
      <c r="W67" s="1941"/>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471">
        <v>0</v>
      </c>
    </row>
    <row customHeight="1" ht="11.25" hidden="1">
      <c r="AR68" s="108">
        <v>0</v>
      </c>
    </row>
    <row customHeight="1" ht="11.25" hidden="1">
      <c r="E69" s="2178" t="s">
        <v>234</v>
      </c>
      <c r="F69" s="2178"/>
      <c r="G69" s="2178"/>
      <c r="H69" s="2178"/>
      <c r="I69" s="2178"/>
      <c r="J69" s="2178"/>
      <c r="K69" s="2178"/>
      <c r="L69" s="2178"/>
      <c r="M69" s="2178"/>
      <c r="N69" s="2178"/>
      <c r="O69" s="2178"/>
      <c r="P69" s="2178"/>
      <c r="Q69" s="2178"/>
      <c r="R69" s="2178"/>
      <c r="S69" s="2178"/>
      <c r="T69" s="2178"/>
      <c r="U69" s="2178"/>
      <c r="V69" s="2178"/>
      <c r="W69" s="2178"/>
      <c r="AR69" s="108">
        <v>0</v>
      </c>
    </row>
    <row customHeight="1" ht="36.75" hidden="1">
      <c r="E70" s="2176" t="s">
        <v>235</v>
      </c>
      <c r="F70" s="2176"/>
      <c r="G70" s="2177"/>
      <c r="H70" s="2177"/>
      <c r="I70" s="2177"/>
      <c r="J70" s="2177"/>
      <c r="K70" s="2177"/>
      <c r="L70" s="2177"/>
      <c r="M70" s="2177"/>
      <c r="N70" s="2177"/>
      <c r="O70" s="2177"/>
      <c r="P70" s="2177"/>
      <c r="Q70" s="2177"/>
      <c r="R70" s="2177"/>
      <c r="S70" s="2177"/>
      <c r="T70" s="2177"/>
      <c r="U70" s="2177"/>
      <c r="V70" s="2177"/>
      <c r="W70" s="2177"/>
      <c r="AR70" s="108">
        <v>0</v>
      </c>
    </row>
    <row customHeight="1" ht="28.5" hidden="1">
      <c r="E71" s="2176" t="s">
        <v>236</v>
      </c>
      <c r="F71" s="2176"/>
      <c r="G71" s="2177"/>
      <c r="H71" s="2177"/>
      <c r="I71" s="2177"/>
      <c r="J71" s="2177"/>
      <c r="K71" s="2177"/>
      <c r="L71" s="2177"/>
      <c r="M71" s="2177"/>
      <c r="N71" s="2177"/>
      <c r="O71" s="2177"/>
      <c r="P71" s="2177"/>
      <c r="Q71" s="2177"/>
      <c r="R71" s="2177"/>
      <c r="S71" s="2177"/>
      <c r="T71" s="2177"/>
      <c r="U71" s="2177"/>
      <c r="V71" s="2177"/>
      <c r="W71" s="2177"/>
      <c r="AR71" s="108">
        <v>0</v>
      </c>
    </row>
    <row customHeight="1" ht="27" hidden="1">
      <c r="E72" s="2176" t="s">
        <v>237</v>
      </c>
      <c r="F72" s="2176"/>
      <c r="G72" s="2177"/>
      <c r="H72" s="2177"/>
      <c r="I72" s="2177"/>
      <c r="J72" s="2177"/>
      <c r="K72" s="2177"/>
      <c r="L72" s="2177"/>
      <c r="M72" s="2177"/>
      <c r="N72" s="2177"/>
      <c r="O72" s="2177"/>
      <c r="P72" s="2177"/>
      <c r="Q72" s="2177"/>
      <c r="R72" s="2177"/>
      <c r="S72" s="2177"/>
      <c r="T72" s="2177"/>
      <c r="U72" s="2177"/>
      <c r="V72" s="2177"/>
      <c r="W72" s="2177"/>
      <c r="AR72" s="108">
        <v>0</v>
      </c>
    </row>
    <row customHeight="1" ht="17.25" hidden="1">
      <c r="E73" s="2176" t="s">
        <v>238</v>
      </c>
      <c r="F73" s="2176"/>
      <c r="G73" s="2177"/>
      <c r="H73" s="2177"/>
      <c r="I73" s="2177"/>
      <c r="J73" s="2177"/>
      <c r="K73" s="2177"/>
      <c r="L73" s="2177"/>
      <c r="M73" s="2177"/>
      <c r="N73" s="2177"/>
      <c r="O73" s="2177"/>
      <c r="P73" s="2177"/>
      <c r="Q73" s="2177"/>
      <c r="R73" s="2177"/>
      <c r="S73" s="2177"/>
      <c r="T73" s="2177"/>
      <c r="U73" s="2177"/>
      <c r="V73" s="2177"/>
      <c r="W73" s="2177"/>
      <c r="AR73" s="108">
        <v>0</v>
      </c>
    </row>
    <row customHeight="1" ht="15" hidden="1">
      <c r="E74" s="344"/>
      <c r="F74" s="1289"/>
      <c r="G74" s="161"/>
      <c r="H74" s="161"/>
      <c r="I74" s="161"/>
      <c r="J74" s="161"/>
      <c r="K74" s="161"/>
      <c r="L74" s="161"/>
      <c r="M74" s="161"/>
      <c r="N74" s="161"/>
      <c r="O74" s="161"/>
      <c r="P74" s="161"/>
      <c r="Q74" s="161"/>
      <c r="R74" s="161"/>
      <c r="S74" s="161"/>
      <c r="T74" s="161"/>
      <c r="U74" s="161"/>
      <c r="V74" s="161"/>
      <c r="W74" s="161"/>
      <c r="AR74" s="108">
        <v>0</v>
      </c>
    </row>
    <row customHeight="1" ht="15" hidden="1">
      <c r="E75" s="2178" t="s">
        <v>239</v>
      </c>
      <c r="F75" s="2178"/>
      <c r="G75" s="2178"/>
      <c r="H75" s="2178"/>
      <c r="I75" s="2178"/>
      <c r="J75" s="2178"/>
      <c r="K75" s="2178"/>
      <c r="L75" s="2178"/>
      <c r="M75" s="2178"/>
      <c r="N75" s="2178"/>
      <c r="O75" s="2178"/>
      <c r="P75" s="2178"/>
      <c r="Q75" s="2178"/>
      <c r="R75" s="2178"/>
      <c r="S75" s="2178"/>
      <c r="T75" s="2178"/>
      <c r="U75" s="2178"/>
      <c r="V75" s="2178"/>
      <c r="W75" s="2178"/>
      <c r="AR75" s="108">
        <v>0</v>
      </c>
    </row>
    <row customHeight="1" ht="17.25" hidden="1">
      <c r="E76" s="2176" t="s">
        <v>240</v>
      </c>
      <c r="F76" s="2176"/>
      <c r="G76" s="2177"/>
      <c r="H76" s="2177"/>
      <c r="I76" s="2177"/>
      <c r="J76" s="2177"/>
      <c r="K76" s="2177"/>
      <c r="L76" s="2177"/>
      <c r="M76" s="2177"/>
      <c r="N76" s="2177"/>
      <c r="O76" s="2177"/>
      <c r="P76" s="2177"/>
      <c r="Q76" s="2177"/>
      <c r="R76" s="2177"/>
      <c r="S76" s="2177"/>
      <c r="T76" s="2177"/>
      <c r="U76" s="2177"/>
      <c r="V76" s="2177"/>
      <c r="W76" s="2177"/>
      <c r="AR76" s="108">
        <v>0</v>
      </c>
    </row>
    <row customHeight="1" ht="17.25" hidden="1">
      <c r="E77" s="2176" t="s">
        <v>241</v>
      </c>
      <c r="F77" s="2176"/>
      <c r="G77" s="2177"/>
      <c r="H77" s="2177"/>
      <c r="I77" s="2177"/>
      <c r="J77" s="2177"/>
      <c r="K77" s="2177"/>
      <c r="L77" s="2177"/>
      <c r="M77" s="2177"/>
      <c r="N77" s="2177"/>
      <c r="O77" s="2177"/>
      <c r="P77" s="2177"/>
      <c r="Q77" s="2177"/>
      <c r="R77" s="2177"/>
      <c r="S77" s="2177"/>
      <c r="T77" s="2177"/>
      <c r="U77" s="2177"/>
      <c r="V77" s="2177"/>
      <c r="W77" s="2177"/>
      <c r="AR77" s="108">
        <v>0</v>
      </c>
    </row>
    <row s="1857" customFormat="1" customHeight="1" ht="11.25" hidden="1">
      <c r="A78" s="281"/>
      <c r="B78" s="281"/>
      <c r="Y78" s="1263"/>
      <c r="Z78" s="1263"/>
      <c r="AA78" s="1263"/>
      <c r="AB78" s="1263"/>
      <c r="AC78" s="1263"/>
      <c r="AD78" s="1263"/>
      <c r="AE78" s="1263"/>
      <c r="AF78" s="1263"/>
      <c r="AG78" s="1263"/>
      <c r="AH78" s="1263"/>
      <c r="AI78" s="1263"/>
      <c r="AJ78" s="1263"/>
      <c r="AK78" s="1263"/>
      <c r="AL78" s="1263"/>
      <c r="AM78" s="1263"/>
      <c r="AN78" s="1263"/>
      <c r="AO78" s="1263"/>
      <c r="AP78" s="1263"/>
      <c r="AQ78" s="1263"/>
      <c r="AR78" s="1354">
        <v>0</v>
      </c>
    </row>
    <row s="1857" customFormat="1" customHeight="1" ht="17.25" hidden="1">
      <c r="A79" s="325"/>
      <c r="C79" s="213"/>
      <c r="D79" s="2139">
        <v>1</v>
      </c>
      <c r="E79" s="2147" t="s">
        <v>242</v>
      </c>
      <c r="F79" s="2149" t="s">
        <v>19</v>
      </c>
      <c r="G79" s="2147"/>
      <c r="H79" s="2152"/>
      <c r="I79" s="2154"/>
      <c r="J79" s="2156"/>
      <c r="K79" s="2141"/>
      <c r="L79" s="2141"/>
      <c r="M79" s="2141"/>
      <c r="N79" s="2143"/>
      <c r="O79" s="2141"/>
      <c r="P79" s="2141"/>
      <c r="Q79" s="2141"/>
      <c r="R79" s="2146"/>
      <c r="S79" s="2141"/>
      <c r="T79" s="1474"/>
      <c r="U79" s="1474"/>
      <c r="V79" s="1476"/>
      <c r="W79" s="1300"/>
      <c r="Y79" s="1271"/>
      <c r="Z79" s="1271"/>
      <c r="AA79" s="1271"/>
      <c r="AB79" s="1271"/>
      <c r="AC79" s="1271" t="s">
        <v>243</v>
      </c>
      <c r="AD79" s="1271" t="s">
        <v>244</v>
      </c>
      <c r="AE79" s="1271" t="s">
        <v>245</v>
      </c>
      <c r="AF79" s="1271" t="s">
        <v>246</v>
      </c>
      <c r="AG79" s="1271"/>
      <c r="AH79" s="1271" t="str">
        <f>IF($E$79=0,"",$E$79)</f>
        <v>Тариф на питьевую воду (питьевое водоснабжение)</v>
      </c>
      <c r="AI79" s="1271" t="str">
        <f>IF($G$79=0,"",$G$79)</f>
        <v/>
      </c>
      <c r="AJ79" s="1271" t="str">
        <f>IF($J$79=0,"",$J$79)</f>
        <v/>
      </c>
      <c r="AK79" s="1271" t="str">
        <f>IF($K$79="нет","без дифференциации",IF($N$79=0,"",$N$79))</f>
        <v/>
      </c>
      <c r="AL79" s="1271" t="str">
        <f>IF($O$79="нет","без дифференциации",IF($R$79=0,"",$R$79))</f>
        <v/>
      </c>
      <c r="AM79" s="1271" t="str">
        <f>IF($S$79="нет","без дифференциации",IF($V$79=0,"",$V$79))</f>
        <v/>
      </c>
      <c r="AN79" s="1271">
        <f>$I$79</f>
        <v>0</v>
      </c>
      <c r="AO79" s="1271" t="str">
        <f>$I$79&amp;"."&amp;$M$79</f>
        <v>.</v>
      </c>
      <c r="AP79" s="1271" t="str">
        <f>$I$79&amp;"."&amp;$M$79&amp;"."&amp;$Q$79</f>
        <v>..</v>
      </c>
      <c r="AQ79" s="1271" t="str">
        <f>$I$79&amp;"."&amp;$M$79&amp;"."&amp;$Q$79&amp;"."&amp;$U$79</f>
        <v>...</v>
      </c>
      <c r="AR79" s="1354">
        <v>0</v>
      </c>
    </row>
    <row s="1857" customFormat="1" customHeight="1" ht="17.25" hidden="1">
      <c r="A80" s="325"/>
      <c r="C80" s="324"/>
      <c r="D80" s="2139"/>
      <c r="E80" s="2147"/>
      <c r="F80" s="2150"/>
      <c r="G80" s="2147"/>
      <c r="H80" s="2153"/>
      <c r="I80" s="2155"/>
      <c r="J80" s="2157"/>
      <c r="K80" s="2142"/>
      <c r="L80" s="2142"/>
      <c r="M80" s="2142"/>
      <c r="N80" s="2144"/>
      <c r="O80" s="2142"/>
      <c r="P80" s="2142"/>
      <c r="Q80" s="2142"/>
      <c r="R80" s="2145"/>
      <c r="S80" s="2142"/>
      <c r="T80" s="1301"/>
      <c r="U80" s="1301"/>
      <c r="V80" s="1301"/>
      <c r="W80" s="1302"/>
      <c r="Y80" s="1263"/>
      <c r="Z80" s="1263"/>
      <c r="AA80" s="1263"/>
      <c r="AB80" s="1263"/>
      <c r="AC80" s="1263"/>
      <c r="AD80" s="1263"/>
      <c r="AE80" s="1263"/>
      <c r="AF80" s="1263"/>
      <c r="AG80" s="1263"/>
      <c r="AH80" s="1263"/>
      <c r="AI80" s="1263"/>
      <c r="AJ80" s="1263"/>
      <c r="AK80" s="1263"/>
      <c r="AL80" s="1263"/>
      <c r="AM80" s="1263"/>
      <c r="AN80" s="1263"/>
      <c r="AO80" s="1263"/>
      <c r="AP80" s="1263"/>
      <c r="AQ80" s="1263"/>
      <c r="AR80" s="1354">
        <v>0</v>
      </c>
    </row>
    <row s="1857" customFormat="1" customHeight="1" ht="17.25" hidden="1">
      <c r="A81" s="325"/>
      <c r="C81" s="213"/>
      <c r="D81" s="2139"/>
      <c r="E81" s="2147"/>
      <c r="F81" s="2150"/>
      <c r="G81" s="2147"/>
      <c r="H81" s="2153"/>
      <c r="I81" s="2155"/>
      <c r="J81" s="2158"/>
      <c r="K81" s="2142"/>
      <c r="L81" s="2142"/>
      <c r="M81" s="2142"/>
      <c r="N81" s="2145"/>
      <c r="O81" s="2142"/>
      <c r="P81" s="1475"/>
      <c r="Q81" s="1301"/>
      <c r="R81" s="1301"/>
      <c r="S81" s="333"/>
      <c r="T81" s="333"/>
      <c r="U81" s="333"/>
      <c r="V81" s="333"/>
      <c r="W81" s="1302"/>
      <c r="Y81" s="1271"/>
      <c r="Z81" s="1271"/>
      <c r="AA81" s="1271"/>
      <c r="AB81" s="1271"/>
      <c r="AC81" s="1271"/>
      <c r="AD81" s="1271"/>
      <c r="AE81" s="1271"/>
      <c r="AF81" s="1271"/>
      <c r="AG81" s="1271"/>
      <c r="AH81" s="1271"/>
      <c r="AI81" s="1271"/>
      <c r="AJ81" s="1271"/>
      <c r="AK81" s="1271"/>
      <c r="AL81" s="1271"/>
      <c r="AM81" s="1271"/>
      <c r="AN81" s="1271"/>
      <c r="AO81" s="1271"/>
      <c r="AP81" s="1271"/>
      <c r="AQ81" s="1271"/>
      <c r="AR81" s="1445">
        <v>0</v>
      </c>
    </row>
    <row s="1857" customFormat="1" customHeight="1" ht="17.25" hidden="1">
      <c r="A82" s="325"/>
      <c r="C82" s="324"/>
      <c r="D82" s="2139"/>
      <c r="E82" s="2147"/>
      <c r="F82" s="2150"/>
      <c r="G82" s="2147"/>
      <c r="H82" s="2153"/>
      <c r="I82" s="2155"/>
      <c r="J82" s="2158"/>
      <c r="K82" s="2142"/>
      <c r="L82" s="1301"/>
      <c r="M82" s="1301"/>
      <c r="N82" s="1301"/>
      <c r="O82" s="1301"/>
      <c r="P82" s="1301"/>
      <c r="Q82" s="1301"/>
      <c r="R82" s="1301"/>
      <c r="S82" s="333"/>
      <c r="T82" s="333"/>
      <c r="U82" s="333"/>
      <c r="V82" s="333"/>
      <c r="W82" s="1302"/>
      <c r="Y82" s="1263"/>
      <c r="Z82" s="1263"/>
      <c r="AA82" s="1263"/>
      <c r="AB82" s="1263"/>
      <c r="AC82" s="1263"/>
      <c r="AD82" s="1263"/>
      <c r="AE82" s="1263"/>
      <c r="AF82" s="1263"/>
      <c r="AG82" s="1263"/>
      <c r="AH82" s="1263"/>
      <c r="AI82" s="1263"/>
      <c r="AJ82" s="1263"/>
      <c r="AK82" s="1263"/>
      <c r="AL82" s="1263"/>
      <c r="AM82" s="1263"/>
      <c r="AN82" s="1263"/>
      <c r="AO82" s="1263"/>
      <c r="AP82" s="1263"/>
      <c r="AQ82" s="1263"/>
      <c r="AR82" s="1445">
        <v>0</v>
      </c>
    </row>
    <row s="1857" customFormat="1" customHeight="1" ht="17.25" hidden="1">
      <c r="A83" s="325"/>
      <c r="C83" s="324"/>
      <c r="D83" s="2140"/>
      <c r="E83" s="2148"/>
      <c r="F83" s="2151"/>
      <c r="G83" s="2148"/>
      <c r="H83" s="1303"/>
      <c r="I83" s="1304"/>
      <c r="J83" s="1304"/>
      <c r="K83" s="1304"/>
      <c r="L83" s="1304"/>
      <c r="M83" s="1304"/>
      <c r="N83" s="1304"/>
      <c r="O83" s="1304"/>
      <c r="P83" s="1304"/>
      <c r="Q83" s="1304"/>
      <c r="R83" s="1304"/>
      <c r="S83" s="1305"/>
      <c r="T83" s="1305"/>
      <c r="U83" s="1305"/>
      <c r="V83" s="1305"/>
      <c r="W83" s="1306"/>
      <c r="Y83" s="1263"/>
      <c r="Z83" s="1263"/>
      <c r="AA83" s="1263"/>
      <c r="AB83" s="1263"/>
      <c r="AC83" s="1263"/>
      <c r="AD83" s="1263"/>
      <c r="AE83" s="1263"/>
      <c r="AF83" s="1263"/>
      <c r="AG83" s="1263"/>
      <c r="AH83" s="1263"/>
      <c r="AI83" s="1263"/>
      <c r="AJ83" s="1263"/>
      <c r="AK83" s="1263"/>
      <c r="AL83" s="1263"/>
      <c r="AM83" s="1263"/>
      <c r="AN83" s="1263"/>
      <c r="AO83" s="1263"/>
      <c r="AP83" s="1263"/>
      <c r="AQ83" s="1263"/>
      <c r="AR83" s="1354">
        <v>0</v>
      </c>
    </row>
    <row s="1857" customFormat="1" customHeight="1" ht="17.25" hidden="1">
      <c r="A84" s="325"/>
      <c r="C84" s="213"/>
      <c r="D84" s="2139">
        <v>2</v>
      </c>
      <c r="E84" s="2147" t="s">
        <v>247</v>
      </c>
      <c r="F84" s="2149" t="s">
        <v>19</v>
      </c>
      <c r="G84" s="2147"/>
      <c r="H84" s="2152"/>
      <c r="I84" s="2154"/>
      <c r="J84" s="2156"/>
      <c r="K84" s="2141"/>
      <c r="L84" s="2141"/>
      <c r="M84" s="2141"/>
      <c r="N84" s="2143"/>
      <c r="O84" s="2141"/>
      <c r="P84" s="2141"/>
      <c r="Q84" s="2141"/>
      <c r="R84" s="2146"/>
      <c r="S84" s="2141"/>
      <c r="T84" s="1447"/>
      <c r="U84" s="1447"/>
      <c r="V84" s="1449"/>
      <c r="W84" s="1300"/>
      <c r="X84" s="1271"/>
      <c r="Y84" s="1271"/>
      <c r="Z84" s="1271"/>
      <c r="AA84" s="1271"/>
      <c r="AB84" s="1271"/>
      <c r="AC84" s="1271" t="s">
        <v>248</v>
      </c>
      <c r="AD84" s="1271" t="s">
        <v>249</v>
      </c>
      <c r="AE84" s="1271" t="s">
        <v>250</v>
      </c>
      <c r="AF84" s="1271" t="s">
        <v>251</v>
      </c>
      <c r="AG84" s="1271"/>
      <c r="AH84" s="1271" t="str">
        <f>IF($E$84=0,"",$E$84)</f>
        <v>Тариф на техническую воду</v>
      </c>
      <c r="AI84" s="1271" t="str">
        <f>IF($G$84=0,"",$G$84)</f>
        <v/>
      </c>
      <c r="AJ84" s="1271" t="str">
        <f>IF($J$84=0,"",$J$84)</f>
        <v/>
      </c>
      <c r="AK84" s="1271" t="str">
        <f>IF($K$84="нет","без дифференциации",IF($N$84=0,"",$N$84))</f>
        <v/>
      </c>
      <c r="AL84" s="1271" t="str">
        <f>IF($O$84="нет","без дифференциации",IF($R$84=0,"",$R$84))</f>
        <v/>
      </c>
      <c r="AM84" s="1271" t="str">
        <f>IF($S$84="нет","без дифференциации",IF($V$84=0,"",$V$84))</f>
        <v/>
      </c>
      <c r="AN84" s="1776">
        <f>$I$84</f>
        <v>0</v>
      </c>
      <c r="AO84" s="1271" t="str">
        <f>$I$84&amp;"."&amp;$M$84</f>
        <v>.</v>
      </c>
      <c r="AP84" s="1263" t="str">
        <f>$I$84&amp;"."&amp;$M$84&amp;"."&amp;$Q$84</f>
        <v>..</v>
      </c>
      <c r="AQ84" s="1263" t="str">
        <f>$I$84&amp;"."&amp;$M$84&amp;"."&amp;$Q$84&amp;"."&amp;$U$84</f>
        <v>...</v>
      </c>
      <c r="AR84" s="1354">
        <v>0</v>
      </c>
    </row>
    <row s="1857" customFormat="1" customHeight="1" ht="17.25" hidden="1">
      <c r="A85" s="325"/>
      <c r="C85" s="324"/>
      <c r="D85" s="2139"/>
      <c r="E85" s="2147"/>
      <c r="F85" s="2150"/>
      <c r="G85" s="2147"/>
      <c r="H85" s="2153"/>
      <c r="I85" s="2155"/>
      <c r="J85" s="2157"/>
      <c r="K85" s="2142"/>
      <c r="L85" s="2142"/>
      <c r="M85" s="2142"/>
      <c r="N85" s="2144"/>
      <c r="O85" s="2142"/>
      <c r="P85" s="2142"/>
      <c r="Q85" s="2142"/>
      <c r="R85" s="2145"/>
      <c r="S85" s="2142"/>
      <c r="T85" s="1301"/>
      <c r="U85" s="1301"/>
      <c r="V85" s="1301"/>
      <c r="W85" s="1302"/>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354">
        <v>0</v>
      </c>
    </row>
    <row s="1857" customFormat="1" customHeight="1" ht="17.25" hidden="1">
      <c r="A86" s="325"/>
      <c r="C86" s="324"/>
      <c r="D86" s="2140"/>
      <c r="E86" s="2148"/>
      <c r="F86" s="2150"/>
      <c r="G86" s="2148"/>
      <c r="H86" s="2153"/>
      <c r="I86" s="2155"/>
      <c r="J86" s="2158"/>
      <c r="K86" s="2142"/>
      <c r="L86" s="2142"/>
      <c r="M86" s="2142"/>
      <c r="N86" s="2145"/>
      <c r="O86" s="2142"/>
      <c r="P86" s="1448"/>
      <c r="Q86" s="1301"/>
      <c r="R86" s="1301"/>
      <c r="S86" s="333"/>
      <c r="T86" s="333"/>
      <c r="U86" s="333"/>
      <c r="V86" s="333"/>
      <c r="W86" s="1302"/>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354">
        <v>0</v>
      </c>
    </row>
    <row s="1857" customFormat="1" customHeight="1" ht="17.25" hidden="1">
      <c r="A87" s="325"/>
      <c r="C87" s="324"/>
      <c r="D87" s="2140"/>
      <c r="E87" s="2148"/>
      <c r="F87" s="2150"/>
      <c r="G87" s="2148"/>
      <c r="H87" s="2153"/>
      <c r="I87" s="2155"/>
      <c r="J87" s="2158"/>
      <c r="K87" s="2142"/>
      <c r="L87" s="1301"/>
      <c r="M87" s="1301"/>
      <c r="N87" s="1301"/>
      <c r="O87" s="1301"/>
      <c r="P87" s="1301"/>
      <c r="Q87" s="1301"/>
      <c r="R87" s="1301"/>
      <c r="S87" s="333"/>
      <c r="T87" s="333"/>
      <c r="U87" s="333"/>
      <c r="V87" s="333"/>
      <c r="W87" s="1302"/>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354">
        <v>0</v>
      </c>
    </row>
    <row s="1857" customFormat="1" customHeight="1" ht="17.25" hidden="1">
      <c r="A88" s="325"/>
      <c r="C88" s="324"/>
      <c r="D88" s="2140"/>
      <c r="E88" s="2148"/>
      <c r="F88" s="2151"/>
      <c r="G88" s="2148"/>
      <c r="H88" s="1303"/>
      <c r="I88" s="1304"/>
      <c r="J88" s="1304"/>
      <c r="K88" s="1304"/>
      <c r="L88" s="1304"/>
      <c r="M88" s="1304"/>
      <c r="N88" s="1304"/>
      <c r="O88" s="1304"/>
      <c r="P88" s="1304"/>
      <c r="Q88" s="1304"/>
      <c r="R88" s="1304"/>
      <c r="S88" s="1305"/>
      <c r="T88" s="1305"/>
      <c r="U88" s="1305"/>
      <c r="V88" s="1305"/>
      <c r="W88" s="1306"/>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354">
        <v>0</v>
      </c>
    </row>
    <row s="1857" customFormat="1" customHeight="1" ht="17.25" hidden="1">
      <c r="A89" s="325"/>
      <c r="C89" s="213"/>
      <c r="D89" s="2139">
        <v>3</v>
      </c>
      <c r="E89" s="2147" t="s">
        <v>252</v>
      </c>
      <c r="F89" s="2149" t="s">
        <v>19</v>
      </c>
      <c r="G89" s="2147"/>
      <c r="H89" s="2152"/>
      <c r="I89" s="2154"/>
      <c r="J89" s="2156"/>
      <c r="K89" s="2141"/>
      <c r="L89" s="2141"/>
      <c r="M89" s="2141"/>
      <c r="N89" s="2143"/>
      <c r="O89" s="2141"/>
      <c r="P89" s="2141"/>
      <c r="Q89" s="2141"/>
      <c r="R89" s="2146"/>
      <c r="S89" s="2141"/>
      <c r="T89" s="1447"/>
      <c r="U89" s="1447"/>
      <c r="V89" s="1449"/>
      <c r="W89" s="1300"/>
      <c r="X89" s="1271"/>
      <c r="Y89" s="1271"/>
      <c r="Z89" s="1271"/>
      <c r="AA89" s="1271"/>
      <c r="AB89" s="1271"/>
      <c r="AC89" s="1271" t="s">
        <v>253</v>
      </c>
      <c r="AD89" s="1271" t="s">
        <v>254</v>
      </c>
      <c r="AE89" s="1271" t="s">
        <v>255</v>
      </c>
      <c r="AF89" s="1271" t="s">
        <v>256</v>
      </c>
      <c r="AG89" s="1271"/>
      <c r="AH89" s="1271" t="str">
        <f>IF($E$89=0,"",$E$89)</f>
        <v>Тариф на транспортировку воды</v>
      </c>
      <c r="AI89" s="1271" t="str">
        <f>IF($G$89=0,"",$G$89)</f>
        <v/>
      </c>
      <c r="AJ89" s="1271" t="str">
        <f>IF($J$89=0,"",$J$89)</f>
        <v/>
      </c>
      <c r="AK89" s="1271" t="str">
        <f>IF($K$89="нет","без дифференциации",IF($N$89=0,"",$N$89))</f>
        <v/>
      </c>
      <c r="AL89" s="1271" t="str">
        <f>IF($O$89="нет","без дифференциации",IF($R$89=0,"",$R$89))</f>
        <v/>
      </c>
      <c r="AM89" s="1271" t="str">
        <f>IF($S$89="нет","без дифференциации",IF($V$89=0,"",$V$89))</f>
        <v/>
      </c>
      <c r="AN89" s="1776">
        <f>$I$89</f>
        <v>0</v>
      </c>
      <c r="AO89" s="1271" t="str">
        <f>$I$89&amp;"."&amp;$M$89</f>
        <v>.</v>
      </c>
      <c r="AP89" s="1263" t="str">
        <f>$I$89&amp;"."&amp;$M$89&amp;"."&amp;$Q$89</f>
        <v>..</v>
      </c>
      <c r="AQ89" s="1263" t="str">
        <f>$I$89&amp;"."&amp;$M$89&amp;"."&amp;$Q$89&amp;"."&amp;$U$89</f>
        <v>...</v>
      </c>
      <c r="AR89" s="1354">
        <v>0</v>
      </c>
    </row>
    <row s="1857" customFormat="1" customHeight="1" ht="17.25" hidden="1">
      <c r="A90" s="325"/>
      <c r="C90" s="324"/>
      <c r="D90" s="2139"/>
      <c r="E90" s="2147"/>
      <c r="F90" s="2150"/>
      <c r="G90" s="2147"/>
      <c r="H90" s="2153"/>
      <c r="I90" s="2155"/>
      <c r="J90" s="2157"/>
      <c r="K90" s="2142"/>
      <c r="L90" s="2142"/>
      <c r="M90" s="2142"/>
      <c r="N90" s="2144"/>
      <c r="O90" s="2142"/>
      <c r="P90" s="2142"/>
      <c r="Q90" s="2142"/>
      <c r="R90" s="2145"/>
      <c r="S90" s="2142"/>
      <c r="T90" s="1301"/>
      <c r="U90" s="1301"/>
      <c r="V90" s="1301"/>
      <c r="W90" s="1302"/>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354">
        <v>0</v>
      </c>
    </row>
    <row s="1857" customFormat="1" customHeight="1" ht="17.25" hidden="1">
      <c r="A91" s="325"/>
      <c r="C91" s="324"/>
      <c r="D91" s="2140"/>
      <c r="E91" s="2148"/>
      <c r="F91" s="2150"/>
      <c r="G91" s="2148"/>
      <c r="H91" s="2153"/>
      <c r="I91" s="2155"/>
      <c r="J91" s="2158"/>
      <c r="K91" s="2142"/>
      <c r="L91" s="2142"/>
      <c r="M91" s="2142"/>
      <c r="N91" s="2145"/>
      <c r="O91" s="2142"/>
      <c r="P91" s="1448"/>
      <c r="Q91" s="1301"/>
      <c r="R91" s="1301"/>
      <c r="S91" s="333"/>
      <c r="T91" s="333"/>
      <c r="U91" s="333"/>
      <c r="V91" s="333"/>
      <c r="W91" s="1302"/>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354">
        <v>0</v>
      </c>
    </row>
    <row s="1857" customFormat="1" customHeight="1" ht="17.25" hidden="1">
      <c r="A92" s="325"/>
      <c r="C92" s="324"/>
      <c r="D92" s="2140"/>
      <c r="E92" s="2148"/>
      <c r="F92" s="2150"/>
      <c r="G92" s="2148"/>
      <c r="H92" s="2153"/>
      <c r="I92" s="2155"/>
      <c r="J92" s="2158"/>
      <c r="K92" s="2142"/>
      <c r="L92" s="1301"/>
      <c r="M92" s="1301"/>
      <c r="N92" s="1301"/>
      <c r="O92" s="1301"/>
      <c r="P92" s="1301"/>
      <c r="Q92" s="1301"/>
      <c r="R92" s="1301"/>
      <c r="S92" s="333"/>
      <c r="T92" s="333"/>
      <c r="U92" s="333"/>
      <c r="V92" s="333"/>
      <c r="W92" s="1302"/>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354">
        <v>0</v>
      </c>
    </row>
    <row s="1857" customFormat="1" customHeight="1" ht="17.25" hidden="1">
      <c r="A93" s="325"/>
      <c r="C93" s="324"/>
      <c r="D93" s="2140"/>
      <c r="E93" s="2148"/>
      <c r="F93" s="2151"/>
      <c r="G93" s="2148"/>
      <c r="H93" s="1303"/>
      <c r="I93" s="1304"/>
      <c r="J93" s="1304"/>
      <c r="K93" s="1304"/>
      <c r="L93" s="1304"/>
      <c r="M93" s="1304"/>
      <c r="N93" s="1304"/>
      <c r="O93" s="1304"/>
      <c r="P93" s="1304"/>
      <c r="Q93" s="1304"/>
      <c r="R93" s="1304"/>
      <c r="S93" s="1305"/>
      <c r="T93" s="1305"/>
      <c r="U93" s="1305"/>
      <c r="V93" s="1305"/>
      <c r="W93" s="1306"/>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354">
        <v>0</v>
      </c>
    </row>
    <row s="1857" customFormat="1" customHeight="1" ht="17.25" hidden="1">
      <c r="A94" s="325"/>
      <c r="C94" s="213"/>
      <c r="D94" s="2139">
        <v>4</v>
      </c>
      <c r="E94" s="2147" t="s">
        <v>257</v>
      </c>
      <c r="F94" s="2149" t="s">
        <v>19</v>
      </c>
      <c r="G94" s="2147"/>
      <c r="H94" s="2152"/>
      <c r="I94" s="2154"/>
      <c r="J94" s="2156"/>
      <c r="K94" s="2141"/>
      <c r="L94" s="2141"/>
      <c r="M94" s="2141"/>
      <c r="N94" s="2143"/>
      <c r="O94" s="2141"/>
      <c r="P94" s="2141"/>
      <c r="Q94" s="2141"/>
      <c r="R94" s="2146"/>
      <c r="S94" s="2141"/>
      <c r="T94" s="1447"/>
      <c r="U94" s="1447"/>
      <c r="V94" s="1449"/>
      <c r="W94" s="1300"/>
      <c r="X94" s="1271"/>
      <c r="Y94" s="1271"/>
      <c r="Z94" s="1271"/>
      <c r="AA94" s="1271"/>
      <c r="AB94" s="1271"/>
      <c r="AC94" s="1271" t="s">
        <v>258</v>
      </c>
      <c r="AD94" s="1271" t="s">
        <v>259</v>
      </c>
      <c r="AE94" s="1271" t="s">
        <v>260</v>
      </c>
      <c r="AF94" s="1271" t="s">
        <v>261</v>
      </c>
      <c r="AG94" s="1271"/>
      <c r="AH94" s="1271" t="str">
        <f>IF($E$94=0,"",$E$94)</f>
        <v>Тариф на подвоз воды</v>
      </c>
      <c r="AI94" s="1271" t="str">
        <f>IF($G$94=0,"",$G$94)</f>
        <v/>
      </c>
      <c r="AJ94" s="1271" t="str">
        <f>IF($J$94=0,"",$J$94)</f>
        <v/>
      </c>
      <c r="AK94" s="1271" t="str">
        <f>IF($K$94="нет","без дифференциации",IF($N$94=0,"",$N$94))</f>
        <v/>
      </c>
      <c r="AL94" s="1271" t="str">
        <f>IF($O$94="нет","без дифференциации",IF($R$94=0,"",$R$94))</f>
        <v/>
      </c>
      <c r="AM94" s="1271" t="str">
        <f>IF($S$94="нет","без дифференциации",IF($V$94=0,"",$V$94))</f>
        <v/>
      </c>
      <c r="AN94" s="1776">
        <f>$I$94</f>
        <v>0</v>
      </c>
      <c r="AO94" s="1271" t="str">
        <f>$I$94&amp;"."&amp;$M$94</f>
        <v>.</v>
      </c>
      <c r="AP94" s="1263" t="str">
        <f>$I$94&amp;"."&amp;$M$94&amp;"."&amp;$Q$94</f>
        <v>..</v>
      </c>
      <c r="AQ94" s="1263" t="str">
        <f>$I$94&amp;"."&amp;$M$94&amp;"."&amp;$Q$94&amp;"."&amp;$U$94</f>
        <v>...</v>
      </c>
      <c r="AR94" s="1354">
        <v>0</v>
      </c>
    </row>
    <row s="1857" customFormat="1" customHeight="1" ht="17.25" hidden="1">
      <c r="A95" s="325"/>
      <c r="C95" s="324"/>
      <c r="D95" s="2139"/>
      <c r="E95" s="2147"/>
      <c r="F95" s="2150"/>
      <c r="G95" s="2147"/>
      <c r="H95" s="2153"/>
      <c r="I95" s="2155"/>
      <c r="J95" s="2157"/>
      <c r="K95" s="2142"/>
      <c r="L95" s="2142"/>
      <c r="M95" s="2142"/>
      <c r="N95" s="2144"/>
      <c r="O95" s="2142"/>
      <c r="P95" s="2142"/>
      <c r="Q95" s="2142"/>
      <c r="R95" s="2145"/>
      <c r="S95" s="2142"/>
      <c r="T95" s="1301"/>
      <c r="U95" s="1301"/>
      <c r="V95" s="1301"/>
      <c r="W95" s="1302"/>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354">
        <v>0</v>
      </c>
    </row>
    <row s="1857" customFormat="1" customHeight="1" ht="17.25" hidden="1">
      <c r="A96" s="325"/>
      <c r="C96" s="324"/>
      <c r="D96" s="2140"/>
      <c r="E96" s="2148"/>
      <c r="F96" s="2150"/>
      <c r="G96" s="2148"/>
      <c r="H96" s="2153"/>
      <c r="I96" s="2155"/>
      <c r="J96" s="2158"/>
      <c r="K96" s="2142"/>
      <c r="L96" s="2142"/>
      <c r="M96" s="2142"/>
      <c r="N96" s="2145"/>
      <c r="O96" s="2142"/>
      <c r="P96" s="1448"/>
      <c r="Q96" s="1301"/>
      <c r="R96" s="1301"/>
      <c r="S96" s="333"/>
      <c r="T96" s="333"/>
      <c r="U96" s="333"/>
      <c r="V96" s="333"/>
      <c r="W96" s="1302"/>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354">
        <v>0</v>
      </c>
    </row>
    <row s="1857" customFormat="1" customHeight="1" ht="17.25" hidden="1">
      <c r="A97" s="325"/>
      <c r="C97" s="324"/>
      <c r="D97" s="2140"/>
      <c r="E97" s="2148"/>
      <c r="F97" s="2150"/>
      <c r="G97" s="2148"/>
      <c r="H97" s="2153"/>
      <c r="I97" s="2155"/>
      <c r="J97" s="2158"/>
      <c r="K97" s="2142"/>
      <c r="L97" s="1301"/>
      <c r="M97" s="1301"/>
      <c r="N97" s="1301"/>
      <c r="O97" s="1301"/>
      <c r="P97" s="1301"/>
      <c r="Q97" s="1301"/>
      <c r="R97" s="1301"/>
      <c r="S97" s="333"/>
      <c r="T97" s="333"/>
      <c r="U97" s="333"/>
      <c r="V97" s="333"/>
      <c r="W97" s="1302"/>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354">
        <v>0</v>
      </c>
    </row>
    <row s="1857" customFormat="1" customHeight="1" ht="17.25" hidden="1">
      <c r="A98" s="325"/>
      <c r="C98" s="324"/>
      <c r="D98" s="2140"/>
      <c r="E98" s="2148"/>
      <c r="F98" s="2151"/>
      <c r="G98" s="2148"/>
      <c r="H98" s="1303"/>
      <c r="I98" s="1304"/>
      <c r="J98" s="1304"/>
      <c r="K98" s="1304"/>
      <c r="L98" s="1304"/>
      <c r="M98" s="1304"/>
      <c r="N98" s="1304"/>
      <c r="O98" s="1304"/>
      <c r="P98" s="1304"/>
      <c r="Q98" s="1304"/>
      <c r="R98" s="1304"/>
      <c r="S98" s="1305"/>
      <c r="T98" s="1305"/>
      <c r="U98" s="1305"/>
      <c r="V98" s="1305"/>
      <c r="W98" s="1306"/>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354">
        <v>0</v>
      </c>
    </row>
    <row s="1857" customFormat="1" customHeight="1" ht="17.25" hidden="1">
      <c r="A99" s="325"/>
      <c r="C99" s="213"/>
      <c r="D99" s="2139">
        <v>5</v>
      </c>
      <c r="E99" s="2147" t="s">
        <v>262</v>
      </c>
      <c r="F99" s="2149" t="s">
        <v>19</v>
      </c>
      <c r="G99" s="2147"/>
      <c r="H99" s="2152"/>
      <c r="I99" s="2154"/>
      <c r="J99" s="2156"/>
      <c r="K99" s="2141"/>
      <c r="L99" s="2141"/>
      <c r="M99" s="2141"/>
      <c r="N99" s="2143"/>
      <c r="O99" s="2141"/>
      <c r="P99" s="2141"/>
      <c r="Q99" s="2141"/>
      <c r="R99" s="2146"/>
      <c r="S99" s="2141"/>
      <c r="T99" s="1947"/>
      <c r="U99" s="1947"/>
      <c r="V99" s="1949"/>
      <c r="W99" s="1300"/>
      <c r="X99" s="1271"/>
      <c r="Y99" s="1271"/>
      <c r="Z99" s="1271"/>
      <c r="AA99" s="1271"/>
      <c r="AB99" s="1271"/>
      <c r="AC99" s="1271" t="s">
        <v>263</v>
      </c>
      <c r="AD99" s="1271" t="s">
        <v>264</v>
      </c>
      <c r="AE99" s="1271" t="s">
        <v>265</v>
      </c>
      <c r="AF99" s="1271" t="s">
        <v>266</v>
      </c>
      <c r="AG99" s="1271"/>
      <c r="AH99" s="1271" t="str">
        <f>IF($E$99=0,"",$E$99)</f>
        <v>Тариф на подключение (технологическое присоединение) к централизованной системе холодного водоснабжения</v>
      </c>
      <c r="AI99" s="1271" t="str">
        <f>IF($G$99=0,"",$G$99)</f>
        <v/>
      </c>
      <c r="AJ99" s="1271" t="str">
        <f>IF($J$99=0,"",$J$99)</f>
        <v/>
      </c>
      <c r="AK99" s="1271" t="str">
        <f>IF($K$99="нет","без дифференциации",IF($N$99=0,"",$N$99))</f>
        <v/>
      </c>
      <c r="AL99" s="1271" t="str">
        <f>IF($O$99="нет","без дифференциации",IF($R$99=0,"",$R$99))</f>
        <v/>
      </c>
      <c r="AM99" s="1271" t="str">
        <f>IF($S$99="нет","без дифференциации",IF($V$99=0,"",$V$99))</f>
        <v/>
      </c>
      <c r="AN99" s="1776">
        <f>$I$99</f>
        <v>0</v>
      </c>
      <c r="AO99" s="1271" t="str">
        <f>$I$99&amp;"."&amp;$M$99</f>
        <v>.</v>
      </c>
      <c r="AP99" s="1270" t="str">
        <f>$I$99&amp;"."&amp;$M$99&amp;"."&amp;$Q$99</f>
        <v>..</v>
      </c>
      <c r="AQ99" s="1270" t="str">
        <f>$I$99&amp;"."&amp;$M$99&amp;"."&amp;$Q$99&amp;"."&amp;$U$99</f>
        <v>...</v>
      </c>
      <c r="AR99" s="1471">
        <v>0</v>
      </c>
    </row>
    <row s="1857" customFormat="1" customHeight="1" ht="17.25" hidden="1">
      <c r="A100" s="325"/>
      <c r="C100" s="324"/>
      <c r="D100" s="2139"/>
      <c r="E100" s="2147"/>
      <c r="F100" s="2150"/>
      <c r="G100" s="2147"/>
      <c r="H100" s="2153"/>
      <c r="I100" s="2155"/>
      <c r="J100" s="2157"/>
      <c r="K100" s="2142"/>
      <c r="L100" s="2142"/>
      <c r="M100" s="2142"/>
      <c r="N100" s="2144"/>
      <c r="O100" s="2142"/>
      <c r="P100" s="2142"/>
      <c r="Q100" s="2142"/>
      <c r="R100" s="2145"/>
      <c r="S100" s="2142"/>
      <c r="T100" s="1952"/>
      <c r="U100" s="1952"/>
      <c r="V100" s="1952"/>
      <c r="W100" s="1953"/>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471">
        <v>0</v>
      </c>
    </row>
    <row s="1857" customFormat="1" customHeight="1" ht="17.25" hidden="1">
      <c r="A101" s="325"/>
      <c r="C101" s="324"/>
      <c r="D101" s="2140"/>
      <c r="E101" s="2148"/>
      <c r="F101" s="2150"/>
      <c r="G101" s="2148"/>
      <c r="H101" s="2153"/>
      <c r="I101" s="2155"/>
      <c r="J101" s="2158"/>
      <c r="K101" s="2142"/>
      <c r="L101" s="2142"/>
      <c r="M101" s="2142"/>
      <c r="N101" s="2145"/>
      <c r="O101" s="2142"/>
      <c r="P101" s="1948"/>
      <c r="Q101" s="1952"/>
      <c r="R101" s="1952"/>
      <c r="S101" s="333"/>
      <c r="T101" s="333"/>
      <c r="U101" s="333"/>
      <c r="V101" s="333"/>
      <c r="W101" s="1953"/>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471">
        <v>0</v>
      </c>
    </row>
    <row s="1857" customFormat="1" customHeight="1" ht="17.25" hidden="1">
      <c r="A102" s="325"/>
      <c r="C102" s="324"/>
      <c r="D102" s="2140"/>
      <c r="E102" s="2148"/>
      <c r="F102" s="2150"/>
      <c r="G102" s="2148"/>
      <c r="H102" s="2153"/>
      <c r="I102" s="2155"/>
      <c r="J102" s="2158"/>
      <c r="K102" s="2142"/>
      <c r="L102" s="1952"/>
      <c r="M102" s="1952"/>
      <c r="N102" s="1952"/>
      <c r="O102" s="1952"/>
      <c r="P102" s="1952"/>
      <c r="Q102" s="1952"/>
      <c r="R102" s="1952"/>
      <c r="S102" s="333"/>
      <c r="T102" s="333"/>
      <c r="U102" s="333"/>
      <c r="V102" s="333"/>
      <c r="W102" s="1953"/>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471">
        <v>0</v>
      </c>
    </row>
    <row s="1857" customFormat="1" customHeight="1" ht="17.25" hidden="1">
      <c r="A103" s="325"/>
      <c r="C103" s="324"/>
      <c r="D103" s="2140"/>
      <c r="E103" s="2148"/>
      <c r="F103" s="2151"/>
      <c r="G103" s="2148"/>
      <c r="H103" s="1303"/>
      <c r="I103" s="1950"/>
      <c r="J103" s="1950"/>
      <c r="K103" s="1950"/>
      <c r="L103" s="1950"/>
      <c r="M103" s="1950"/>
      <c r="N103" s="1950"/>
      <c r="O103" s="1950"/>
      <c r="P103" s="1950"/>
      <c r="Q103" s="1950"/>
      <c r="R103" s="1950"/>
      <c r="S103" s="1305"/>
      <c r="T103" s="1305"/>
      <c r="U103" s="1305"/>
      <c r="V103" s="1305"/>
      <c r="W103" s="1951"/>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471">
        <v>0</v>
      </c>
    </row>
    <row s="1857" customFormat="1" customHeight="1" ht="11.25" hidden="1">
      <c r="A104" s="281"/>
      <c r="B104" s="281"/>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471">
        <v>0</v>
      </c>
    </row>
    <row s="1857" customFormat="1" customHeight="1" ht="17.25" hidden="1">
      <c r="A105" s="325"/>
      <c r="C105" s="213"/>
      <c r="D105" s="2139">
        <v>1</v>
      </c>
      <c r="E105" s="2147" t="s">
        <v>267</v>
      </c>
      <c r="F105" s="2149" t="s">
        <v>19</v>
      </c>
      <c r="G105" s="2147"/>
      <c r="H105" s="2152"/>
      <c r="I105" s="2154"/>
      <c r="J105" s="2156"/>
      <c r="K105" s="2141"/>
      <c r="L105" s="2141"/>
      <c r="M105" s="2141"/>
      <c r="N105" s="2143"/>
      <c r="O105" s="2141"/>
      <c r="P105" s="2141"/>
      <c r="Q105" s="2141"/>
      <c r="R105" s="2146"/>
      <c r="S105" s="2141"/>
      <c r="T105" s="1474"/>
      <c r="U105" s="1474"/>
      <c r="V105" s="1476"/>
      <c r="W105" s="1300"/>
      <c r="Y105" s="1271"/>
      <c r="Z105" s="1271"/>
      <c r="AA105" s="1271"/>
      <c r="AB105" s="1271"/>
      <c r="AC105" s="1271" t="s">
        <v>268</v>
      </c>
      <c r="AD105" s="1271" t="s">
        <v>269</v>
      </c>
      <c r="AE105" s="1271" t="s">
        <v>270</v>
      </c>
      <c r="AF105" s="1271" t="s">
        <v>271</v>
      </c>
      <c r="AG105" s="1271"/>
      <c r="AH105" s="1271" t="str">
        <f>IF($E$105=0,"",$E$105)</f>
        <v>Тариф на горячую воду (горячее водоснабжение)</v>
      </c>
      <c r="AI105" s="1271" t="str">
        <f>IF($G$105=0,"",$G$105)</f>
        <v/>
      </c>
      <c r="AJ105" s="1271" t="str">
        <f>IF($J$105=0,"",$J$105)</f>
        <v/>
      </c>
      <c r="AK105" s="1271" t="str">
        <f>IF($K$105="нет","без дифференциации",IF($N$105=0,"",$N$105))</f>
        <v/>
      </c>
      <c r="AL105" s="1271" t="str">
        <f>IF($O$105="нет","без дифференциации",IF($R$105=0,"",$R$105))</f>
        <v/>
      </c>
      <c r="AM105" s="1271" t="str">
        <f>IF($S$105="нет","без дифференциации",IF($V$105=0,"",$V$105))</f>
        <v/>
      </c>
      <c r="AN105" s="1271">
        <f>$I$105</f>
        <v>0</v>
      </c>
      <c r="AO105" s="1271" t="str">
        <f>$I$105&amp;"."&amp;$M$105</f>
        <v>.</v>
      </c>
      <c r="AP105" s="1271" t="str">
        <f>$I$105&amp;"."&amp;$M$105&amp;"."&amp;$Q$105</f>
        <v>..</v>
      </c>
      <c r="AQ105" s="1271" t="str">
        <f>$I$105&amp;"."&amp;$M$105&amp;"."&amp;$Q$105&amp;"."&amp;$U$105</f>
        <v>...</v>
      </c>
      <c r="AR105" s="1471">
        <v>0</v>
      </c>
    </row>
    <row s="1857" customFormat="1" customHeight="1" ht="17.25" hidden="1">
      <c r="A106" s="325"/>
      <c r="C106" s="324"/>
      <c r="D106" s="2139"/>
      <c r="E106" s="2147"/>
      <c r="F106" s="2150"/>
      <c r="G106" s="2147"/>
      <c r="H106" s="2153"/>
      <c r="I106" s="2155"/>
      <c r="J106" s="2157"/>
      <c r="K106" s="2142"/>
      <c r="L106" s="2142"/>
      <c r="M106" s="2142"/>
      <c r="N106" s="2144"/>
      <c r="O106" s="2142"/>
      <c r="P106" s="2142"/>
      <c r="Q106" s="2142"/>
      <c r="R106" s="2145"/>
      <c r="S106" s="2142"/>
      <c r="T106" s="1301"/>
      <c r="U106" s="1301"/>
      <c r="V106" s="1301"/>
      <c r="W106" s="1302"/>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471">
        <v>0</v>
      </c>
    </row>
    <row s="1857" customFormat="1" customHeight="1" ht="17.25" hidden="1">
      <c r="A107" s="325"/>
      <c r="C107" s="213"/>
      <c r="D107" s="2139"/>
      <c r="E107" s="2147"/>
      <c r="F107" s="2150"/>
      <c r="G107" s="2147"/>
      <c r="H107" s="2153"/>
      <c r="I107" s="2155"/>
      <c r="J107" s="2158"/>
      <c r="K107" s="2142"/>
      <c r="L107" s="2142"/>
      <c r="M107" s="2142"/>
      <c r="N107" s="2145"/>
      <c r="O107" s="2142"/>
      <c r="P107" s="1475"/>
      <c r="Q107" s="1301"/>
      <c r="R107" s="1301"/>
      <c r="S107" s="333"/>
      <c r="T107" s="333"/>
      <c r="U107" s="333"/>
      <c r="V107" s="333"/>
      <c r="W107" s="1302"/>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471">
        <v>0</v>
      </c>
    </row>
    <row s="1857" customFormat="1" customHeight="1" ht="17.25" hidden="1">
      <c r="A108" s="325"/>
      <c r="C108" s="324"/>
      <c r="D108" s="2139"/>
      <c r="E108" s="2147"/>
      <c r="F108" s="2150"/>
      <c r="G108" s="2147"/>
      <c r="H108" s="2153"/>
      <c r="I108" s="2155"/>
      <c r="J108" s="2158"/>
      <c r="K108" s="2142"/>
      <c r="L108" s="1301"/>
      <c r="M108" s="1301"/>
      <c r="N108" s="1301"/>
      <c r="O108" s="1301"/>
      <c r="P108" s="1301"/>
      <c r="Q108" s="1301"/>
      <c r="R108" s="1301"/>
      <c r="S108" s="333"/>
      <c r="T108" s="333"/>
      <c r="U108" s="333"/>
      <c r="V108" s="333"/>
      <c r="W108" s="1302"/>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471">
        <v>0</v>
      </c>
    </row>
    <row s="1857" customFormat="1" customHeight="1" ht="17.25" hidden="1">
      <c r="A109" s="325"/>
      <c r="C109" s="324"/>
      <c r="D109" s="2140"/>
      <c r="E109" s="2148"/>
      <c r="F109" s="2151"/>
      <c r="G109" s="2148"/>
      <c r="H109" s="1303"/>
      <c r="I109" s="1304"/>
      <c r="J109" s="1304"/>
      <c r="K109" s="1304"/>
      <c r="L109" s="1304"/>
      <c r="M109" s="1304"/>
      <c r="N109" s="1304"/>
      <c r="O109" s="1304"/>
      <c r="P109" s="1304"/>
      <c r="Q109" s="1304"/>
      <c r="R109" s="1304"/>
      <c r="S109" s="1305"/>
      <c r="T109" s="1305"/>
      <c r="U109" s="1305"/>
      <c r="V109" s="1305"/>
      <c r="W109" s="1306"/>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471">
        <v>0</v>
      </c>
    </row>
    <row s="1857" customFormat="1" customHeight="1" ht="17.25" hidden="1">
      <c r="A110" s="325"/>
      <c r="C110" s="213"/>
      <c r="D110" s="2139">
        <v>2</v>
      </c>
      <c r="E110" s="2147" t="s">
        <v>272</v>
      </c>
      <c r="F110" s="2149" t="s">
        <v>19</v>
      </c>
      <c r="G110" s="2147"/>
      <c r="H110" s="2152"/>
      <c r="I110" s="2154"/>
      <c r="J110" s="2156"/>
      <c r="K110" s="2141"/>
      <c r="L110" s="2141"/>
      <c r="M110" s="2141"/>
      <c r="N110" s="2143"/>
      <c r="O110" s="2141"/>
      <c r="P110" s="2141"/>
      <c r="Q110" s="2141"/>
      <c r="R110" s="2146"/>
      <c r="S110" s="2141"/>
      <c r="T110" s="1474"/>
      <c r="U110" s="1474"/>
      <c r="V110" s="1476"/>
      <c r="W110" s="1300"/>
      <c r="X110" s="1271"/>
      <c r="Y110" s="1271"/>
      <c r="Z110" s="1271"/>
      <c r="AA110" s="1271"/>
      <c r="AB110" s="1271"/>
      <c r="AC110" s="1271" t="s">
        <v>273</v>
      </c>
      <c r="AD110" s="1271" t="s">
        <v>274</v>
      </c>
      <c r="AE110" s="1271" t="s">
        <v>275</v>
      </c>
      <c r="AF110" s="1271" t="s">
        <v>276</v>
      </c>
      <c r="AG110" s="1271"/>
      <c r="AH110" s="1271" t="str">
        <f>IF($E$110=0,"",$E$110)</f>
        <v>Тариф на транспортировку горячей воды</v>
      </c>
      <c r="AI110" s="1271" t="str">
        <f>IF($G$110=0,"",$G$110)</f>
        <v/>
      </c>
      <c r="AJ110" s="1271" t="str">
        <f>IF($J$110=0,"",$J$110)</f>
        <v/>
      </c>
      <c r="AK110" s="1271" t="str">
        <f>IF($K$110="нет","без дифференциации",IF($N$110=0,"",$N$110))</f>
        <v/>
      </c>
      <c r="AL110" s="1271" t="str">
        <f>IF($O$110="нет","без дифференциации",IF($R$110=0,"",$R$110))</f>
        <v/>
      </c>
      <c r="AM110" s="1271" t="str">
        <f>IF($S$110="нет","без дифференциации",IF($V$110=0,"",$V$110))</f>
        <v/>
      </c>
      <c r="AN110" s="1776">
        <f>$I$110</f>
        <v>0</v>
      </c>
      <c r="AO110" s="1271" t="str">
        <f>$I$110&amp;"."&amp;$M$110</f>
        <v>.</v>
      </c>
      <c r="AP110" s="1263" t="str">
        <f>$I$110&amp;"."&amp;$M$110&amp;"."&amp;$Q$110</f>
        <v>..</v>
      </c>
      <c r="AQ110" s="1263" t="str">
        <f>$I$110&amp;"."&amp;$M$110&amp;"."&amp;$Q$110&amp;"."&amp;$U$110</f>
        <v>...</v>
      </c>
      <c r="AR110" s="1471">
        <v>0</v>
      </c>
    </row>
    <row s="1857" customFormat="1" customHeight="1" ht="17.25" hidden="1">
      <c r="A111" s="325"/>
      <c r="C111" s="324"/>
      <c r="D111" s="2139"/>
      <c r="E111" s="2147"/>
      <c r="F111" s="2150"/>
      <c r="G111" s="2147"/>
      <c r="H111" s="2153"/>
      <c r="I111" s="2155"/>
      <c r="J111" s="2157"/>
      <c r="K111" s="2142"/>
      <c r="L111" s="2142"/>
      <c r="M111" s="2142"/>
      <c r="N111" s="2144"/>
      <c r="O111" s="2142"/>
      <c r="P111" s="2142"/>
      <c r="Q111" s="2142"/>
      <c r="R111" s="2145"/>
      <c r="S111" s="2142"/>
      <c r="T111" s="1301"/>
      <c r="U111" s="1301"/>
      <c r="V111" s="1301"/>
      <c r="W111" s="1302"/>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471">
        <v>0</v>
      </c>
    </row>
    <row s="1857" customFormat="1" customHeight="1" ht="17.25" hidden="1">
      <c r="A112" s="325"/>
      <c r="C112" s="324"/>
      <c r="D112" s="2140"/>
      <c r="E112" s="2148"/>
      <c r="F112" s="2150"/>
      <c r="G112" s="2148"/>
      <c r="H112" s="2153"/>
      <c r="I112" s="2155"/>
      <c r="J112" s="2158"/>
      <c r="K112" s="2142"/>
      <c r="L112" s="2142"/>
      <c r="M112" s="2142"/>
      <c r="N112" s="2145"/>
      <c r="O112" s="2142"/>
      <c r="P112" s="1475"/>
      <c r="Q112" s="1301"/>
      <c r="R112" s="1301"/>
      <c r="S112" s="333"/>
      <c r="T112" s="333"/>
      <c r="U112" s="333"/>
      <c r="V112" s="333"/>
      <c r="W112" s="1302"/>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471">
        <v>0</v>
      </c>
    </row>
    <row s="1857" customFormat="1" customHeight="1" ht="17.25" hidden="1">
      <c r="A113" s="325"/>
      <c r="C113" s="324"/>
      <c r="D113" s="2140"/>
      <c r="E113" s="2148"/>
      <c r="F113" s="2150"/>
      <c r="G113" s="2148"/>
      <c r="H113" s="2153"/>
      <c r="I113" s="2155"/>
      <c r="J113" s="2158"/>
      <c r="K113" s="2142"/>
      <c r="L113" s="1301"/>
      <c r="M113" s="1301"/>
      <c r="N113" s="1301"/>
      <c r="O113" s="1301"/>
      <c r="P113" s="1301"/>
      <c r="Q113" s="1301"/>
      <c r="R113" s="1301"/>
      <c r="S113" s="333"/>
      <c r="T113" s="333"/>
      <c r="U113" s="333"/>
      <c r="V113" s="333"/>
      <c r="W113" s="1302"/>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471">
        <v>0</v>
      </c>
    </row>
    <row s="1857" customFormat="1" customHeight="1" ht="17.25" hidden="1">
      <c r="A114" s="325"/>
      <c r="C114" s="324"/>
      <c r="D114" s="2140"/>
      <c r="E114" s="2148"/>
      <c r="F114" s="2151"/>
      <c r="G114" s="2148"/>
      <c r="H114" s="1303"/>
      <c r="I114" s="1304"/>
      <c r="J114" s="1304"/>
      <c r="K114" s="1304"/>
      <c r="L114" s="1304"/>
      <c r="M114" s="1304"/>
      <c r="N114" s="1304"/>
      <c r="O114" s="1304"/>
      <c r="P114" s="1304"/>
      <c r="Q114" s="1304"/>
      <c r="R114" s="1304"/>
      <c r="S114" s="1305"/>
      <c r="T114" s="1305"/>
      <c r="U114" s="1305"/>
      <c r="V114" s="1305"/>
      <c r="W114" s="1306"/>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471">
        <v>0</v>
      </c>
    </row>
    <row s="1857" customFormat="1" customHeight="1" ht="17.25" hidden="1">
      <c r="A115" s="325"/>
      <c r="C115" s="213"/>
      <c r="D115" s="2139">
        <v>3</v>
      </c>
      <c r="E115" s="2147" t="s">
        <v>277</v>
      </c>
      <c r="F115" s="2149" t="s">
        <v>19</v>
      </c>
      <c r="G115" s="2147"/>
      <c r="H115" s="2152"/>
      <c r="I115" s="2154"/>
      <c r="J115" s="2156"/>
      <c r="K115" s="2141"/>
      <c r="L115" s="2141"/>
      <c r="M115" s="2141"/>
      <c r="N115" s="2143"/>
      <c r="O115" s="2141"/>
      <c r="P115" s="2141"/>
      <c r="Q115" s="2141"/>
      <c r="R115" s="2146"/>
      <c r="S115" s="2141"/>
      <c r="T115" s="1947"/>
      <c r="U115" s="1947"/>
      <c r="V115" s="1949"/>
      <c r="W115" s="1300"/>
      <c r="X115" s="1271"/>
      <c r="Y115" s="1271"/>
      <c r="Z115" s="1271"/>
      <c r="AA115" s="1271"/>
      <c r="AB115" s="1271"/>
      <c r="AC115" s="1271" t="s">
        <v>278</v>
      </c>
      <c r="AD115" s="1271" t="s">
        <v>279</v>
      </c>
      <c r="AE115" s="1271" t="s">
        <v>280</v>
      </c>
      <c r="AF115" s="1271" t="s">
        <v>281</v>
      </c>
      <c r="AG115" s="1271"/>
      <c r="AH115" s="1271" t="str">
        <f>IF($E$115=0,"",$E$115)</f>
        <v>Тариф на подключение (технологическое присоединение) к централизованной системе горячего водоснабжения</v>
      </c>
      <c r="AI115" s="1271" t="str">
        <f>IF($G$115=0,"",$G$115)</f>
        <v/>
      </c>
      <c r="AJ115" s="1271" t="str">
        <f>IF($J$115=0,"",$J$115)</f>
        <v/>
      </c>
      <c r="AK115" s="1271" t="str">
        <f>IF($K$115="нет","без дифференциации",IF($N$115=0,"",$N$115))</f>
        <v/>
      </c>
      <c r="AL115" s="1271" t="str">
        <f>IF($O$115="нет","без дифференциации",IF($R$115=0,"",$R$115))</f>
        <v/>
      </c>
      <c r="AM115" s="1271" t="str">
        <f>IF($S$115="нет","без дифференциации",IF($V$115=0,"",$V$115))</f>
        <v/>
      </c>
      <c r="AN115" s="1776">
        <f>$I$115</f>
        <v>0</v>
      </c>
      <c r="AO115" s="1271" t="str">
        <f>$I$115&amp;"."&amp;$M$115</f>
        <v>.</v>
      </c>
      <c r="AP115" s="1270" t="str">
        <f>$I$115&amp;"."&amp;$M$115&amp;"."&amp;$Q$115</f>
        <v>..</v>
      </c>
      <c r="AQ115" s="1270" t="str">
        <f>$I$115&amp;"."&amp;$M$115&amp;"."&amp;$Q$115&amp;"."&amp;$U$115</f>
        <v>...</v>
      </c>
      <c r="AR115" s="1471">
        <v>0</v>
      </c>
    </row>
    <row s="1857" customFormat="1" customHeight="1" ht="17.25" hidden="1">
      <c r="A116" s="325"/>
      <c r="C116" s="324"/>
      <c r="D116" s="2139"/>
      <c r="E116" s="2147"/>
      <c r="F116" s="2150"/>
      <c r="G116" s="2147"/>
      <c r="H116" s="2153"/>
      <c r="I116" s="2155"/>
      <c r="J116" s="2157"/>
      <c r="K116" s="2142"/>
      <c r="L116" s="2142"/>
      <c r="M116" s="2142"/>
      <c r="N116" s="2144"/>
      <c r="O116" s="2142"/>
      <c r="P116" s="2142"/>
      <c r="Q116" s="2142"/>
      <c r="R116" s="2145"/>
      <c r="S116" s="2142"/>
      <c r="T116" s="1952"/>
      <c r="U116" s="1952"/>
      <c r="V116" s="1952"/>
      <c r="W116" s="1953"/>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471">
        <v>0</v>
      </c>
    </row>
    <row s="1857" customFormat="1" customHeight="1" ht="17.25" hidden="1">
      <c r="A117" s="325"/>
      <c r="C117" s="324"/>
      <c r="D117" s="2140"/>
      <c r="E117" s="2148"/>
      <c r="F117" s="2150"/>
      <c r="G117" s="2148"/>
      <c r="H117" s="2153"/>
      <c r="I117" s="2155"/>
      <c r="J117" s="2158"/>
      <c r="K117" s="2142"/>
      <c r="L117" s="2142"/>
      <c r="M117" s="2142"/>
      <c r="N117" s="2145"/>
      <c r="O117" s="2142"/>
      <c r="P117" s="1948"/>
      <c r="Q117" s="1952"/>
      <c r="R117" s="1952"/>
      <c r="S117" s="333"/>
      <c r="T117" s="333"/>
      <c r="U117" s="333"/>
      <c r="V117" s="333"/>
      <c r="W117" s="1953"/>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471">
        <v>0</v>
      </c>
    </row>
    <row s="1857" customFormat="1" customHeight="1" ht="17.25" hidden="1">
      <c r="A118" s="325"/>
      <c r="C118" s="324"/>
      <c r="D118" s="2140"/>
      <c r="E118" s="2148"/>
      <c r="F118" s="2150"/>
      <c r="G118" s="2148"/>
      <c r="H118" s="2153"/>
      <c r="I118" s="2155"/>
      <c r="J118" s="2158"/>
      <c r="K118" s="2142"/>
      <c r="L118" s="1952"/>
      <c r="M118" s="1952"/>
      <c r="N118" s="1952"/>
      <c r="O118" s="1952"/>
      <c r="P118" s="1952"/>
      <c r="Q118" s="1952"/>
      <c r="R118" s="1952"/>
      <c r="S118" s="333"/>
      <c r="T118" s="333"/>
      <c r="U118" s="333"/>
      <c r="V118" s="333"/>
      <c r="W118" s="1953"/>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471">
        <v>0</v>
      </c>
    </row>
    <row s="1857" customFormat="1" customHeight="1" ht="17.25" hidden="1">
      <c r="A119" s="325"/>
      <c r="C119" s="324"/>
      <c r="D119" s="2140"/>
      <c r="E119" s="2148"/>
      <c r="F119" s="2151"/>
      <c r="G119" s="2148"/>
      <c r="H119" s="1303"/>
      <c r="I119" s="1950"/>
      <c r="J119" s="1950"/>
      <c r="K119" s="1950"/>
      <c r="L119" s="1950"/>
      <c r="M119" s="1950"/>
      <c r="N119" s="1950"/>
      <c r="O119" s="1950"/>
      <c r="P119" s="1950"/>
      <c r="Q119" s="1950"/>
      <c r="R119" s="1950"/>
      <c r="S119" s="1305"/>
      <c r="T119" s="1305"/>
      <c r="U119" s="1305"/>
      <c r="V119" s="1305"/>
      <c r="W119" s="1951"/>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471">
        <v>0</v>
      </c>
    </row>
    <row s="1857" customFormat="1" customHeight="1" ht="11.25" hidden="1">
      <c r="A120" s="281"/>
      <c r="B120" s="281"/>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471">
        <v>0</v>
      </c>
    </row>
    <row s="1857" customFormat="1" customHeight="1" ht="17.25" hidden="1">
      <c r="A121" s="325"/>
      <c r="C121" s="213"/>
      <c r="D121" s="2139">
        <v>1</v>
      </c>
      <c r="E121" s="2147" t="s">
        <v>282</v>
      </c>
      <c r="F121" s="2149" t="s">
        <v>19</v>
      </c>
      <c r="G121" s="2147"/>
      <c r="H121" s="2152"/>
      <c r="I121" s="2154"/>
      <c r="J121" s="2156"/>
      <c r="K121" s="2141"/>
      <c r="L121" s="2141"/>
      <c r="M121" s="2141"/>
      <c r="N121" s="2143"/>
      <c r="O121" s="2141"/>
      <c r="P121" s="2141"/>
      <c r="Q121" s="2141"/>
      <c r="R121" s="2146"/>
      <c r="S121" s="2141"/>
      <c r="T121" s="1474"/>
      <c r="U121" s="1474"/>
      <c r="V121" s="1476"/>
      <c r="W121" s="1300"/>
      <c r="Y121" s="1271"/>
      <c r="Z121" s="1271"/>
      <c r="AA121" s="1271"/>
      <c r="AB121" s="1271"/>
      <c r="AC121" s="1271" t="s">
        <v>283</v>
      </c>
      <c r="AD121" s="1271" t="s">
        <v>284</v>
      </c>
      <c r="AE121" s="1271" t="s">
        <v>285</v>
      </c>
      <c r="AF121" s="1271" t="s">
        <v>286</v>
      </c>
      <c r="AG121" s="1271"/>
      <c r="AH121" s="1271" t="str">
        <f>IF($E$121=0,"",$E$121)</f>
        <v>Тариф на водоотведение</v>
      </c>
      <c r="AI121" s="1271" t="str">
        <f>IF($G$121=0,"",$G$121)</f>
        <v/>
      </c>
      <c r="AJ121" s="1271" t="str">
        <f>IF($J$121=0,"",$J$121)</f>
        <v/>
      </c>
      <c r="AK121" s="1271" t="str">
        <f>IF($K$121="нет","без дифференциации",IF($N$121=0,"",$N$121))</f>
        <v/>
      </c>
      <c r="AL121" s="1271" t="str">
        <f>IF($O$121="нет","без дифференциации",IF($R$121=0,"",$R$121))</f>
        <v/>
      </c>
      <c r="AM121" s="1271" t="str">
        <f>IF($S$121="нет","без дифференциации",IF($V$121=0,"",$V$121))</f>
        <v/>
      </c>
      <c r="AN121" s="1271">
        <f>$I$121</f>
        <v>0</v>
      </c>
      <c r="AO121" s="1271" t="str">
        <f>$I$121&amp;"."&amp;$M$121</f>
        <v>.</v>
      </c>
      <c r="AP121" s="1271" t="str">
        <f>$I$121&amp;"."&amp;$M$121&amp;"."&amp;$Q$121</f>
        <v>..</v>
      </c>
      <c r="AQ121" s="1271" t="str">
        <f>$I$121&amp;"."&amp;$M$121&amp;"."&amp;$Q$121&amp;"."&amp;$U$121</f>
        <v>...</v>
      </c>
      <c r="AR121" s="1471">
        <v>0</v>
      </c>
    </row>
    <row s="1857" customFormat="1" customHeight="1" ht="17.25" hidden="1">
      <c r="A122" s="325"/>
      <c r="C122" s="324"/>
      <c r="D122" s="2139"/>
      <c r="E122" s="2147"/>
      <c r="F122" s="2150"/>
      <c r="G122" s="2147"/>
      <c r="H122" s="2153"/>
      <c r="I122" s="2155"/>
      <c r="J122" s="2157"/>
      <c r="K122" s="2142"/>
      <c r="L122" s="2142"/>
      <c r="M122" s="2142"/>
      <c r="N122" s="2144"/>
      <c r="O122" s="2142"/>
      <c r="P122" s="2142"/>
      <c r="Q122" s="2142"/>
      <c r="R122" s="2145"/>
      <c r="S122" s="2142"/>
      <c r="T122" s="1301"/>
      <c r="U122" s="1301"/>
      <c r="V122" s="1301"/>
      <c r="W122" s="1302"/>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471">
        <v>0</v>
      </c>
    </row>
    <row s="1857" customFormat="1" customHeight="1" ht="17.25" hidden="1">
      <c r="A123" s="325"/>
      <c r="C123" s="213"/>
      <c r="D123" s="2139"/>
      <c r="E123" s="2147"/>
      <c r="F123" s="2150"/>
      <c r="G123" s="2147"/>
      <c r="H123" s="2153"/>
      <c r="I123" s="2155"/>
      <c r="J123" s="2158"/>
      <c r="K123" s="2142"/>
      <c r="L123" s="2142"/>
      <c r="M123" s="2142"/>
      <c r="N123" s="2145"/>
      <c r="O123" s="2142"/>
      <c r="P123" s="1475"/>
      <c r="Q123" s="1301"/>
      <c r="R123" s="1301"/>
      <c r="S123" s="333"/>
      <c r="T123" s="333"/>
      <c r="U123" s="333"/>
      <c r="V123" s="333"/>
      <c r="W123" s="1302"/>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471">
        <v>0</v>
      </c>
    </row>
    <row s="1857" customFormat="1" customHeight="1" ht="17.25" hidden="1">
      <c r="A124" s="325"/>
      <c r="C124" s="324"/>
      <c r="D124" s="2139"/>
      <c r="E124" s="2147"/>
      <c r="F124" s="2150"/>
      <c r="G124" s="2147"/>
      <c r="H124" s="2153"/>
      <c r="I124" s="2155"/>
      <c r="J124" s="2158"/>
      <c r="K124" s="2142"/>
      <c r="L124" s="1301"/>
      <c r="M124" s="1301"/>
      <c r="N124" s="1301"/>
      <c r="O124" s="1301"/>
      <c r="P124" s="1301"/>
      <c r="Q124" s="1301"/>
      <c r="R124" s="1301"/>
      <c r="S124" s="333"/>
      <c r="T124" s="333"/>
      <c r="U124" s="333"/>
      <c r="V124" s="333"/>
      <c r="W124" s="1302"/>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471">
        <v>0</v>
      </c>
    </row>
    <row s="1857" customFormat="1" customHeight="1" ht="17.25" hidden="1">
      <c r="A125" s="325"/>
      <c r="C125" s="324"/>
      <c r="D125" s="2140"/>
      <c r="E125" s="2148"/>
      <c r="F125" s="2151"/>
      <c r="G125" s="2148"/>
      <c r="H125" s="1303"/>
      <c r="I125" s="1304"/>
      <c r="J125" s="1304"/>
      <c r="K125" s="1304"/>
      <c r="L125" s="1304"/>
      <c r="M125" s="1304"/>
      <c r="N125" s="1304"/>
      <c r="O125" s="1304"/>
      <c r="P125" s="1304"/>
      <c r="Q125" s="1304"/>
      <c r="R125" s="1304"/>
      <c r="S125" s="1305"/>
      <c r="T125" s="1305"/>
      <c r="U125" s="1305"/>
      <c r="V125" s="1305"/>
      <c r="W125" s="1306"/>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471">
        <v>0</v>
      </c>
    </row>
    <row s="1857" customFormat="1" customHeight="1" ht="17.25" hidden="1">
      <c r="A126" s="325"/>
      <c r="C126" s="213"/>
      <c r="D126" s="2139">
        <v>2</v>
      </c>
      <c r="E126" s="2147" t="s">
        <v>287</v>
      </c>
      <c r="F126" s="2149" t="s">
        <v>19</v>
      </c>
      <c r="G126" s="2147"/>
      <c r="H126" s="2152"/>
      <c r="I126" s="2154"/>
      <c r="J126" s="2156"/>
      <c r="K126" s="2141"/>
      <c r="L126" s="2141"/>
      <c r="M126" s="2141"/>
      <c r="N126" s="2143"/>
      <c r="O126" s="2141"/>
      <c r="P126" s="2141"/>
      <c r="Q126" s="2141"/>
      <c r="R126" s="2146"/>
      <c r="S126" s="2141"/>
      <c r="T126" s="1474"/>
      <c r="U126" s="1474"/>
      <c r="V126" s="1476"/>
      <c r="W126" s="1300"/>
      <c r="X126" s="1271"/>
      <c r="Y126" s="1271"/>
      <c r="Z126" s="1271"/>
      <c r="AA126" s="1271"/>
      <c r="AB126" s="1271"/>
      <c r="AC126" s="1271" t="s">
        <v>288</v>
      </c>
      <c r="AD126" s="1271" t="s">
        <v>289</v>
      </c>
      <c r="AE126" s="1271" t="s">
        <v>290</v>
      </c>
      <c r="AF126" s="1271" t="s">
        <v>291</v>
      </c>
      <c r="AG126" s="1271"/>
      <c r="AH126" s="1271" t="str">
        <f>IF($E$126=0,"",$E$126)</f>
        <v>Тариф на транспортировку сточных вод</v>
      </c>
      <c r="AI126" s="1271" t="str">
        <f>IF($G$126=0,"",$G$126)</f>
        <v/>
      </c>
      <c r="AJ126" s="1271" t="str">
        <f>IF($J$126=0,"",$J$126)</f>
        <v/>
      </c>
      <c r="AK126" s="1271" t="str">
        <f>IF($K$126="нет","без дифференциации",IF($N$126=0,"",$N$126))</f>
        <v/>
      </c>
      <c r="AL126" s="1271" t="str">
        <f>IF($O$126="нет","без дифференциации",IF($R$126=0,"",$R$126))</f>
        <v/>
      </c>
      <c r="AM126" s="1271" t="str">
        <f>IF($S$126="нет","без дифференциации",IF($V$126=0,"",$V$126))</f>
        <v/>
      </c>
      <c r="AN126" s="1776">
        <f>$I$126</f>
        <v>0</v>
      </c>
      <c r="AO126" s="1271" t="str">
        <f>$I$126&amp;"."&amp;$M$126</f>
        <v>.</v>
      </c>
      <c r="AP126" s="1263" t="str">
        <f>$I$126&amp;"."&amp;$M$126&amp;"."&amp;$Q$126</f>
        <v>..</v>
      </c>
      <c r="AQ126" s="1263" t="str">
        <f>$I$126&amp;"."&amp;$M$126&amp;"."&amp;$Q$126&amp;"."&amp;$U$126</f>
        <v>...</v>
      </c>
      <c r="AR126" s="1471">
        <v>0</v>
      </c>
    </row>
    <row s="1857" customFormat="1" customHeight="1" ht="17.25" hidden="1">
      <c r="A127" s="325"/>
      <c r="C127" s="324"/>
      <c r="D127" s="2139"/>
      <c r="E127" s="2147"/>
      <c r="F127" s="2150"/>
      <c r="G127" s="2147"/>
      <c r="H127" s="2153"/>
      <c r="I127" s="2155"/>
      <c r="J127" s="2157"/>
      <c r="K127" s="2142"/>
      <c r="L127" s="2142"/>
      <c r="M127" s="2142"/>
      <c r="N127" s="2144"/>
      <c r="O127" s="2142"/>
      <c r="P127" s="2142"/>
      <c r="Q127" s="2142"/>
      <c r="R127" s="2145"/>
      <c r="S127" s="2142"/>
      <c r="T127" s="1301"/>
      <c r="U127" s="1301"/>
      <c r="V127" s="1301"/>
      <c r="W127" s="1302"/>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471">
        <v>0</v>
      </c>
    </row>
    <row s="1857" customFormat="1" customHeight="1" ht="17.25" hidden="1">
      <c r="A128" s="325"/>
      <c r="C128" s="324"/>
      <c r="D128" s="2140"/>
      <c r="E128" s="2148"/>
      <c r="F128" s="2150"/>
      <c r="G128" s="2148"/>
      <c r="H128" s="2153"/>
      <c r="I128" s="2155"/>
      <c r="J128" s="2158"/>
      <c r="K128" s="2142"/>
      <c r="L128" s="2142"/>
      <c r="M128" s="2142"/>
      <c r="N128" s="2145"/>
      <c r="O128" s="2142"/>
      <c r="P128" s="1475"/>
      <c r="Q128" s="1301"/>
      <c r="R128" s="1301"/>
      <c r="S128" s="333"/>
      <c r="T128" s="333"/>
      <c r="U128" s="333"/>
      <c r="V128" s="333"/>
      <c r="W128" s="1302"/>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471">
        <v>0</v>
      </c>
    </row>
    <row s="1857" customFormat="1" customHeight="1" ht="17.25" hidden="1">
      <c r="A129" s="325"/>
      <c r="C129" s="324"/>
      <c r="D129" s="2140"/>
      <c r="E129" s="2148"/>
      <c r="F129" s="2150"/>
      <c r="G129" s="2148"/>
      <c r="H129" s="2153"/>
      <c r="I129" s="2155"/>
      <c r="J129" s="2158"/>
      <c r="K129" s="2142"/>
      <c r="L129" s="1301"/>
      <c r="M129" s="1301"/>
      <c r="N129" s="1301"/>
      <c r="O129" s="1301"/>
      <c r="P129" s="1301"/>
      <c r="Q129" s="1301"/>
      <c r="R129" s="1301"/>
      <c r="S129" s="333"/>
      <c r="T129" s="333"/>
      <c r="U129" s="333"/>
      <c r="V129" s="333"/>
      <c r="W129" s="1302"/>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471">
        <v>0</v>
      </c>
    </row>
    <row s="1857" customFormat="1" customHeight="1" ht="17.25" hidden="1">
      <c r="A130" s="325"/>
      <c r="C130" s="324"/>
      <c r="D130" s="2140"/>
      <c r="E130" s="2148"/>
      <c r="F130" s="2151"/>
      <c r="G130" s="2148"/>
      <c r="H130" s="1303"/>
      <c r="I130" s="1304"/>
      <c r="J130" s="1304"/>
      <c r="K130" s="1304"/>
      <c r="L130" s="1304"/>
      <c r="M130" s="1304"/>
      <c r="N130" s="1304"/>
      <c r="O130" s="1304"/>
      <c r="P130" s="1304"/>
      <c r="Q130" s="1304"/>
      <c r="R130" s="1304"/>
      <c r="S130" s="1305"/>
      <c r="T130" s="1305"/>
      <c r="U130" s="1305"/>
      <c r="V130" s="1305"/>
      <c r="W130" s="1306"/>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471">
        <v>0</v>
      </c>
    </row>
    <row s="1857" customFormat="1" customHeight="1" ht="17.25" hidden="1">
      <c r="A131" s="325"/>
      <c r="C131" s="213"/>
      <c r="D131" s="2139">
        <v>3</v>
      </c>
      <c r="E131" s="2147" t="s">
        <v>292</v>
      </c>
      <c r="F131" s="2149" t="s">
        <v>19</v>
      </c>
      <c r="G131" s="2147"/>
      <c r="H131" s="2152"/>
      <c r="I131" s="2154"/>
      <c r="J131" s="2156"/>
      <c r="K131" s="2141"/>
      <c r="L131" s="2141"/>
      <c r="M131" s="2141"/>
      <c r="N131" s="2143"/>
      <c r="O131" s="2141"/>
      <c r="P131" s="2141"/>
      <c r="Q131" s="2141"/>
      <c r="R131" s="2146"/>
      <c r="S131" s="2141"/>
      <c r="T131" s="1947"/>
      <c r="U131" s="1947"/>
      <c r="V131" s="1949"/>
      <c r="W131" s="1300"/>
      <c r="X131" s="1271"/>
      <c r="Y131" s="1271"/>
      <c r="Z131" s="1271"/>
      <c r="AA131" s="1271"/>
      <c r="AB131" s="1271"/>
      <c r="AC131" s="1271" t="s">
        <v>293</v>
      </c>
      <c r="AD131" s="1271" t="s">
        <v>294</v>
      </c>
      <c r="AE131" s="1271" t="s">
        <v>295</v>
      </c>
      <c r="AF131" s="1271" t="s">
        <v>296</v>
      </c>
      <c r="AG131" s="1271"/>
      <c r="AH131" s="1271" t="str">
        <f>IF($E$131=0,"",$E$131)</f>
        <v>Тариф на подключение (технологическое присоединение) к централизованной системе водоотведения</v>
      </c>
      <c r="AI131" s="1271" t="str">
        <f>IF($G$131=0,"",$G$131)</f>
        <v/>
      </c>
      <c r="AJ131" s="1271" t="str">
        <f>IF($J$131=0,"",$J$131)</f>
        <v/>
      </c>
      <c r="AK131" s="1271" t="str">
        <f>IF($K$131="нет","без дифференциации",IF($N$131=0,"",$N$131))</f>
        <v/>
      </c>
      <c r="AL131" s="1271" t="str">
        <f>IF($O$131="нет","без дифференциации",IF($R$131=0,"",$R$131))</f>
        <v/>
      </c>
      <c r="AM131" s="1271" t="str">
        <f>IF($S$131="нет","без дифференциации",IF($V$131=0,"",$V$131))</f>
        <v/>
      </c>
      <c r="AN131" s="1776">
        <f>$I$131</f>
        <v>0</v>
      </c>
      <c r="AO131" s="1271" t="str">
        <f>$I$131&amp;"."&amp;$M$131</f>
        <v>.</v>
      </c>
      <c r="AP131" s="1270" t="str">
        <f>$I$131&amp;"."&amp;$M$131&amp;"."&amp;$Q$131</f>
        <v>..</v>
      </c>
      <c r="AQ131" s="1270" t="str">
        <f>$I$131&amp;"."&amp;$M$131&amp;"."&amp;$Q$131&amp;"."&amp;$U$131</f>
        <v>...</v>
      </c>
      <c r="AR131" s="1471">
        <v>0</v>
      </c>
    </row>
    <row s="1857" customFormat="1" customHeight="1" ht="17.25" hidden="1">
      <c r="A132" s="325"/>
      <c r="C132" s="324"/>
      <c r="D132" s="2139"/>
      <c r="E132" s="2147"/>
      <c r="F132" s="2150"/>
      <c r="G132" s="2147"/>
      <c r="H132" s="2153"/>
      <c r="I132" s="2155"/>
      <c r="J132" s="2157"/>
      <c r="K132" s="2142"/>
      <c r="L132" s="2142"/>
      <c r="M132" s="2142"/>
      <c r="N132" s="2144"/>
      <c r="O132" s="2142"/>
      <c r="P132" s="2142"/>
      <c r="Q132" s="2142"/>
      <c r="R132" s="2145"/>
      <c r="S132" s="2142"/>
      <c r="T132" s="1952"/>
      <c r="U132" s="1952"/>
      <c r="V132" s="1952"/>
      <c r="W132" s="1953"/>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471">
        <v>0</v>
      </c>
    </row>
    <row s="1857" customFormat="1" customHeight="1" ht="17.25" hidden="1">
      <c r="A133" s="325"/>
      <c r="C133" s="324"/>
      <c r="D133" s="2140"/>
      <c r="E133" s="2148"/>
      <c r="F133" s="2150"/>
      <c r="G133" s="2148"/>
      <c r="H133" s="2153"/>
      <c r="I133" s="2155"/>
      <c r="J133" s="2158"/>
      <c r="K133" s="2142"/>
      <c r="L133" s="2142"/>
      <c r="M133" s="2142"/>
      <c r="N133" s="2145"/>
      <c r="O133" s="2142"/>
      <c r="P133" s="1948"/>
      <c r="Q133" s="1952"/>
      <c r="R133" s="1952"/>
      <c r="S133" s="333"/>
      <c r="T133" s="333"/>
      <c r="U133" s="333"/>
      <c r="V133" s="333"/>
      <c r="W133" s="1953"/>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471">
        <v>0</v>
      </c>
    </row>
    <row s="1857" customFormat="1" customHeight="1" ht="17.25" hidden="1">
      <c r="A134" s="325"/>
      <c r="C134" s="324"/>
      <c r="D134" s="2140"/>
      <c r="E134" s="2148"/>
      <c r="F134" s="2150"/>
      <c r="G134" s="2148"/>
      <c r="H134" s="2153"/>
      <c r="I134" s="2155"/>
      <c r="J134" s="2158"/>
      <c r="K134" s="2142"/>
      <c r="L134" s="1952"/>
      <c r="M134" s="1952"/>
      <c r="N134" s="1952"/>
      <c r="O134" s="1952"/>
      <c r="P134" s="1952"/>
      <c r="Q134" s="1952"/>
      <c r="R134" s="1952"/>
      <c r="S134" s="333"/>
      <c r="T134" s="333"/>
      <c r="U134" s="333"/>
      <c r="V134" s="333"/>
      <c r="W134" s="1953"/>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471">
        <v>0</v>
      </c>
    </row>
    <row s="1857" customFormat="1" customHeight="1" ht="17.25" hidden="1">
      <c r="A135" s="325"/>
      <c r="C135" s="324"/>
      <c r="D135" s="2140"/>
      <c r="E135" s="2148"/>
      <c r="F135" s="2151"/>
      <c r="G135" s="2148"/>
      <c r="H135" s="1303"/>
      <c r="I135" s="1950"/>
      <c r="J135" s="1950"/>
      <c r="K135" s="1950"/>
      <c r="L135" s="1950"/>
      <c r="M135" s="1950"/>
      <c r="N135" s="1950"/>
      <c r="O135" s="1950"/>
      <c r="P135" s="1950"/>
      <c r="Q135" s="1950"/>
      <c r="R135" s="1950"/>
      <c r="S135" s="1305"/>
      <c r="T135" s="1305"/>
      <c r="U135" s="1305"/>
      <c r="V135" s="1305"/>
      <c r="W135" s="1951"/>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471">
        <v>0</v>
      </c>
    </row>
    <row customHeight="1" ht="11.549999999999999">
      <c r="AR136" s="108">
        <v>11</v>
      </c>
    </row>
    <row customHeight="1" ht="11.549999999999999">
      <c r="AR137" s="108">
        <v>11</v>
      </c>
    </row>
    <row customHeight="1" ht="11.549999999999999">
      <c r="AR138" s="108">
        <v>11</v>
      </c>
    </row>
    <row customHeight="1" ht="11.549999999999999">
      <c r="E139" s="1354"/>
      <c r="AR139" s="108">
        <v>11</v>
      </c>
    </row>
    <row customHeight="1" ht="11.549999999999999">
      <c r="E140" s="1354"/>
      <c r="AR140" s="108">
        <v>11</v>
      </c>
    </row>
    <row customHeight="1" ht="11.549999999999999">
      <c r="E141" s="1354"/>
      <c r="AR141" s="108">
        <v>11</v>
      </c>
    </row>
    <row customHeight="1" ht="11.549999999999999">
      <c r="E142" s="1354"/>
      <c r="AR142" s="108">
        <v>11</v>
      </c>
    </row>
    <row customHeight="1" ht="11.549999999999999">
      <c r="E143" s="1354"/>
      <c r="AR143" s="108">
        <v>11</v>
      </c>
    </row>
    <row customHeight="1" ht="11.549999999999999">
      <c r="E144" s="1354"/>
      <c r="AR144" s="108">
        <v>11</v>
      </c>
    </row>
    <row customHeight="1" ht="11.549999999999999">
      <c r="E145" s="1354"/>
      <c r="AR145" s="108">
        <v>11</v>
      </c>
    </row>
    <row customHeight="1" ht="11.25" hidden="1">
      <c r="A146" s="157" t="s">
        <v>82</v>
      </c>
      <c r="B146" s="157">
        <v>0</v>
      </c>
      <c r="C146" s="108">
        <v>3</v>
      </c>
      <c r="D146" s="108">
        <v>6</v>
      </c>
      <c r="E146" s="108">
        <v>42</v>
      </c>
      <c r="F146" s="1287">
        <v>14</v>
      </c>
      <c r="G146" s="108">
        <v>42</v>
      </c>
      <c r="H146" s="108">
        <v>3</v>
      </c>
      <c r="I146" s="108">
        <v>5</v>
      </c>
      <c r="J146" s="108">
        <v>47</v>
      </c>
      <c r="K146" s="108">
        <v>3</v>
      </c>
      <c r="L146" s="108">
        <v>3</v>
      </c>
      <c r="M146" s="108">
        <v>5</v>
      </c>
      <c r="N146" s="108">
        <v>28</v>
      </c>
      <c r="O146" s="108">
        <v>3</v>
      </c>
      <c r="P146" s="108">
        <v>3</v>
      </c>
      <c r="Q146" s="108">
        <v>5</v>
      </c>
      <c r="R146" s="108">
        <v>34</v>
      </c>
      <c r="S146" s="286">
        <v>0</v>
      </c>
      <c r="T146" s="286">
        <v>0</v>
      </c>
      <c r="U146" s="286">
        <v>0</v>
      </c>
      <c r="V146" s="286">
        <v>0</v>
      </c>
      <c r="W146" s="108">
        <v>30</v>
      </c>
      <c r="X146" s="108">
        <v>3</v>
      </c>
      <c r="Y146" s="1263">
        <v>0</v>
      </c>
      <c r="Z146" s="1263">
        <v>0</v>
      </c>
      <c r="AA146" s="1263">
        <v>0</v>
      </c>
      <c r="AB146" s="1263">
        <v>0</v>
      </c>
      <c r="AC146" s="1263">
        <v>0</v>
      </c>
      <c r="AD146" s="1263">
        <v>0</v>
      </c>
      <c r="AE146" s="1263">
        <v>0</v>
      </c>
      <c r="AF146" s="1263">
        <v>0</v>
      </c>
      <c r="AG146" s="1263">
        <v>0</v>
      </c>
      <c r="AH146" s="1263">
        <v>0</v>
      </c>
      <c r="AI146" s="1263">
        <v>0</v>
      </c>
      <c r="AJ146" s="1263">
        <v>0</v>
      </c>
      <c r="AK146" s="1263">
        <v>0</v>
      </c>
      <c r="AL146" s="1263">
        <v>0</v>
      </c>
      <c r="AM146" s="1263">
        <v>0</v>
      </c>
      <c r="AN146" s="1263">
        <v>0</v>
      </c>
      <c r="AO146" s="1263">
        <v>0</v>
      </c>
      <c r="AP146" s="1263">
        <v>0</v>
      </c>
      <c r="AQ146" s="1263">
        <v>0</v>
      </c>
      <c r="AR146" s="10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53E6DC-CC1D-F43F-E49E-3E278BFC5E46}" mc:Ignorable="x14ac xr xr2 xr3">
  <sheetPr>
    <tabColor theme="2" tint="-0.1"/>
  </sheetPr>
  <dimension ref="A1:AH30"/>
  <sheetViews>
    <sheetView showGridLines="0" zoomScale="90" workbookViewId="0">
      <pane xSplit="8" ySplit="18" topLeftCell="AA19" activePane="bottomRight" state="frozen"/>
      <selection pane="bottomLeft" activeCell="A19" sqref="A19"/>
      <selection pane="topRight" activeCell="I1" sqref="I1"/>
      <selection pane="bottomRight" activeCell="AA8" sqref="AA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47.00390625" customWidth="1"/>
    <col min="6" max="6" style="1639" width="9.00390625" customWidth="1"/>
    <col min="7" max="7" style="1639" width="25.7109375" hidden="1" customWidth="1"/>
    <col min="8" max="8" style="1639" width="34.00390625" hidden="1" customWidth="1"/>
    <col min="9" max="9" style="1639" width="25.7109375" customWidth="1"/>
    <col min="10" max="10" style="1639" width="33.00390625" customWidth="1"/>
    <col min="11" max="11" style="1639" width="25.7109375" customWidth="1"/>
    <col min="12" max="12" style="1639" width="34.00390625" customWidth="1"/>
    <col min="13" max="13" style="1639" width="25.7109375" customWidth="1"/>
    <col min="14" max="14" style="1639" width="34.00390625" customWidth="1"/>
    <col min="15" max="15" style="1639" width="25.7109375" customWidth="1"/>
    <col min="16" max="16" style="1639" width="34.00390625" customWidth="1"/>
    <col min="17" max="17" style="1639" width="25.7109375" customWidth="1"/>
    <col min="18" max="18" style="1639" width="34.00390625" customWidth="1"/>
    <col min="19" max="19" style="1639" width="25.7109375" customWidth="1"/>
    <col min="20" max="20" style="1639" width="34.00390625" customWidth="1"/>
    <col min="21" max="21" style="1639" width="25.7109375" customWidth="1"/>
    <col min="22" max="22" style="1639" width="34.00390625" customWidth="1"/>
    <col min="23" max="23" style="1370" width="50.00390625" customWidth="1"/>
    <col min="24" max="32" style="1639" width="10.00390625" customWidth="1"/>
    <col min="33" max="33" style="679" width="10.00390625" customWidth="1"/>
    <col min="34" max="34" style="1639" width="10.57421875" hidden="1"/>
  </cols>
  <sheetData>
    <row s="1370" customFormat="1" customHeight="1" ht="22.5" hidden="1">
      <c r="C1" s="676"/>
      <c r="G1" s="421">
        <v>4</v>
      </c>
      <c r="I1" s="421">
        <v>4</v>
      </c>
      <c r="K1" s="1370" t="s">
        <v>90</v>
      </c>
      <c r="L1" s="1370"/>
      <c r="M1" s="1370">
        <v>4</v>
      </c>
      <c r="N1" s="1370"/>
      <c r="O1" s="1370">
        <v>4</v>
      </c>
      <c r="P1" s="1370"/>
      <c r="Q1" s="1370">
        <v>4</v>
      </c>
      <c r="R1" s="1370"/>
      <c r="S1" s="1370">
        <v>4</v>
      </c>
      <c r="T1" s="1370"/>
      <c r="U1" s="1370">
        <v>4</v>
      </c>
      <c r="V1" s="1370"/>
      <c r="AG1" s="424"/>
      <c r="AH1" s="421" t="s">
        <v>14</v>
      </c>
    </row>
    <row s="1639" customFormat="1" customHeight="1" ht="15" hidden="1">
      <c r="A2" s="366"/>
      <c r="C2" s="180"/>
      <c r="D2" s="350"/>
      <c r="E2" s="677"/>
      <c r="F2" s="526"/>
      <c r="G2" s="620"/>
      <c r="H2" s="620"/>
      <c r="I2" s="620"/>
      <c r="J2" s="620"/>
      <c r="K2" s="620"/>
      <c r="L2" s="620"/>
      <c r="M2" s="620"/>
      <c r="N2" s="620"/>
      <c r="O2" s="620"/>
      <c r="P2" s="620"/>
      <c r="Q2" s="620"/>
      <c r="R2" s="620"/>
      <c r="S2" s="620"/>
      <c r="T2" s="620"/>
      <c r="U2" s="620"/>
      <c r="V2" s="620"/>
      <c r="AG2" s="678"/>
      <c r="AH2" s="513">
        <v>0</v>
      </c>
    </row>
    <row s="1370" customFormat="1" customHeight="1" ht="15" hidden="1">
      <c r="C3" s="676"/>
      <c r="K3" s="1370"/>
      <c r="L3" s="1370"/>
      <c r="M3" s="1370"/>
      <c r="N3" s="1370"/>
      <c r="O3" s="1370"/>
      <c r="P3" s="1370"/>
      <c r="Q3" s="1370"/>
      <c r="R3" s="1370"/>
      <c r="S3" s="1370"/>
      <c r="T3" s="1370"/>
      <c r="U3" s="1370"/>
      <c r="V3" s="1370"/>
      <c r="AG3" s="424"/>
      <c r="AH3" s="421">
        <v>0</v>
      </c>
    </row>
    <row customHeight="1" ht="15.75">
      <c r="C4" s="180"/>
      <c r="D4" s="513"/>
      <c r="E4" s="513"/>
      <c r="F4" s="513"/>
      <c r="G4" s="513"/>
      <c r="H4" s="513"/>
      <c r="I4" s="513"/>
      <c r="J4" s="513"/>
      <c r="K4" s="1639"/>
      <c r="L4" s="1639"/>
      <c r="M4" s="1639"/>
      <c r="N4" s="1639"/>
      <c r="O4" s="1639"/>
      <c r="P4" s="1639"/>
      <c r="Q4" s="1639"/>
      <c r="R4" s="1639"/>
      <c r="S4" s="1639"/>
      <c r="T4" s="1639"/>
      <c r="U4" s="1639"/>
      <c r="V4" s="1639"/>
      <c r="AH4" s="509">
        <v>15</v>
      </c>
    </row>
    <row customHeight="1" ht="66">
      <c r="C5" s="180"/>
      <c r="D5" s="2241" t="s">
        <v>1472</v>
      </c>
      <c r="E5" s="2241"/>
      <c r="F5" s="2241"/>
      <c r="G5" s="2241"/>
      <c r="H5" s="2241"/>
      <c r="I5" s="2241"/>
      <c r="J5" s="2241"/>
      <c r="K5" s="2252"/>
      <c r="L5" s="2252"/>
      <c r="M5" s="2252"/>
      <c r="N5" s="2252"/>
      <c r="O5" s="2252"/>
      <c r="P5" s="2252"/>
      <c r="Q5" s="2252"/>
      <c r="R5" s="2252"/>
      <c r="S5" s="2252"/>
      <c r="T5" s="2252"/>
      <c r="U5" s="2252"/>
      <c r="V5" s="2252"/>
      <c r="AH5" s="509">
        <v>63</v>
      </c>
    </row>
    <row customHeight="1" ht="15.75">
      <c r="C6" s="180"/>
      <c r="D6" s="2180" t="str">
        <f>IF(org=0,"Не определено",org)</f>
        <v>АО "Теплоэнерго"</v>
      </c>
      <c r="E6" s="2180"/>
      <c r="F6" s="2180"/>
      <c r="G6" s="2180"/>
      <c r="H6" s="2180"/>
      <c r="I6" s="2180"/>
      <c r="J6" s="2180"/>
      <c r="K6" s="2253"/>
      <c r="L6" s="2253"/>
      <c r="M6" s="2253"/>
      <c r="N6" s="2253"/>
      <c r="O6" s="2253"/>
      <c r="P6" s="2253"/>
      <c r="Q6" s="2253"/>
      <c r="R6" s="2253"/>
      <c r="S6" s="2253"/>
      <c r="T6" s="2253"/>
      <c r="U6" s="2253"/>
      <c r="V6" s="2253"/>
      <c r="W6" s="541"/>
      <c r="AH6" s="509">
        <v>15</v>
      </c>
    </row>
    <row customHeight="1" ht="15.75">
      <c r="C7" s="180"/>
      <c r="D7" s="756"/>
      <c r="E7" s="513"/>
      <c r="F7" s="513"/>
      <c r="G7" s="541">
        <v>22</v>
      </c>
      <c r="I7" s="541">
        <v>1</v>
      </c>
      <c r="J7" s="756"/>
      <c r="K7" s="1370" t="s">
        <v>22</v>
      </c>
      <c r="L7" s="1639"/>
      <c r="M7" s="1370" t="s">
        <v>22</v>
      </c>
      <c r="N7" s="1639"/>
      <c r="O7" s="1370" t="s">
        <v>22</v>
      </c>
      <c r="P7" s="1639"/>
      <c r="Q7" s="1370" t="s">
        <v>22</v>
      </c>
      <c r="R7" s="1639"/>
      <c r="S7" s="1370" t="s">
        <v>22</v>
      </c>
      <c r="T7" s="1639"/>
      <c r="U7" s="1370" t="s">
        <v>22</v>
      </c>
      <c r="V7" s="1639"/>
      <c r="AH7" s="509">
        <v>15</v>
      </c>
    </row>
    <row s="1639" customFormat="1" customHeight="1" ht="1.05">
      <c r="A8" s="763"/>
      <c r="C8" s="180"/>
      <c r="D8" s="513"/>
      <c r="E8" s="513"/>
      <c r="F8" s="513"/>
      <c r="G8" s="541"/>
      <c r="H8" s="756"/>
      <c r="I8" s="541" t="s">
        <v>126</v>
      </c>
      <c r="J8" s="756"/>
      <c r="K8" s="1370" t="s">
        <v>130</v>
      </c>
      <c r="L8" s="756"/>
      <c r="M8" s="1370" t="s">
        <v>132</v>
      </c>
      <c r="N8" s="756"/>
      <c r="O8" s="1370" t="s">
        <v>134</v>
      </c>
      <c r="P8" s="756"/>
      <c r="Q8" s="1370" t="s">
        <v>137</v>
      </c>
      <c r="R8" s="756"/>
      <c r="S8" s="1370" t="s">
        <v>136</v>
      </c>
      <c r="T8" s="756"/>
      <c r="U8" s="1370" t="s">
        <v>139</v>
      </c>
      <c r="V8" s="756"/>
      <c r="W8" s="421"/>
      <c r="AG8" s="679"/>
      <c r="AH8" s="762">
        <v>1</v>
      </c>
    </row>
    <row customHeight="1" ht="15.75">
      <c r="C9" s="180"/>
      <c r="D9" s="715"/>
      <c r="E9" s="2371" t="s">
        <v>115</v>
      </c>
      <c r="F9" s="2372"/>
      <c r="G9" s="2399" t="str">
        <f>IF(G8="","",INDEX(DIFFERENTIATION_UNMERGE_VD,MATCH(G8,DIFFERENTIATION_ID_DIFF,0)))</f>
        <v/>
      </c>
      <c r="H9" s="2400"/>
      <c r="I9" s="2399"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400"/>
      <c r="K9" s="2399"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2400"/>
      <c r="M9" s="2399" t="str">
        <f>IF(M8="","",INDEX(DIFFERENTIATION_UNMERGE_VD,MATCH(M8,DIFFERENTIATION_ID_DIFF,0)))</f>
        <v>Производство тепловой энергии. Некомбинированная выработка; Передача. Тепловая энергия</v>
      </c>
      <c r="N9" s="2400"/>
      <c r="O9" s="2399" t="str">
        <f>IF(O8="","",INDEX(DIFFERENTIATION_UNMERGE_VD,MATCH(O8,DIFFERENTIATION_ID_DIFF,0)))</f>
        <v>Производство. Теплоноситель</v>
      </c>
      <c r="P9" s="2400"/>
      <c r="Q9" s="2399" t="str">
        <f>IF(Q8="","",INDEX(DIFFERENTIATION_UNMERGE_VD,MATCH(Q8,DIFFERENTIATION_ID_DIFF,0)))</f>
        <v>Подключение (технологическое присоединение) к системе теплоснабжения</v>
      </c>
      <c r="R9" s="2400"/>
      <c r="S9" s="2399" t="str">
        <f>IF(S8="","",INDEX(DIFFERENTIATION_UNMERGE_VD,MATCH(S8,DIFFERENTIATION_ID_DIFF,0)))</f>
        <v>Производство. Теплоноситель</v>
      </c>
      <c r="T9" s="2400"/>
      <c r="U9" s="2399" t="str">
        <f>IF(U8="","",INDEX(DIFFERENTIATION_UNMERGE_VD,MATCH(U8,DIFFERENTIATION_ID_DIFF,0)))</f>
        <v>Поддержание резервной тепловой мощности при отсутствии потребления тепловой энергии</v>
      </c>
      <c r="V9" s="2400"/>
      <c r="W9" s="2179" t="s">
        <v>319</v>
      </c>
      <c r="AH9" s="509">
        <v>15</v>
      </c>
    </row>
    <row s="1639" customFormat="1" customHeight="1" ht="15.75">
      <c r="A10" s="763"/>
      <c r="C10" s="180"/>
      <c r="D10" s="715"/>
      <c r="E10" s="2371" t="s">
        <v>582</v>
      </c>
      <c r="F10" s="2372"/>
      <c r="G10" s="2399" t="str">
        <f>IF(G8="","",INDEX(DIFFERENTIATION_UNMERGE_AREA,MATCH(G8,DIFFERENTIATION_ID_DIFF,0)))</f>
        <v/>
      </c>
      <c r="H10" s="2400"/>
      <c r="I10" s="2399" t="str">
        <f>IF(I8="","",INDEX(DIFFERENTIATION_UNMERGE_AREA,MATCH(I8,DIFFERENTIATION_ID_DIFF,0)))</f>
        <v>Территория 1</v>
      </c>
      <c r="J10" s="2400"/>
      <c r="K10" s="2399" t="str">
        <f>IF(K8="","",INDEX(DIFFERENTIATION_UNMERGE_AREA,MATCH(K8,DIFFERENTIATION_ID_DIFF,0)))</f>
        <v>Территория 3</v>
      </c>
      <c r="L10" s="2400"/>
      <c r="M10" s="2399" t="str">
        <f>IF(M8="","",INDEX(DIFFERENTIATION_UNMERGE_AREA,MATCH(M8,DIFFERENTIATION_ID_DIFF,0)))</f>
        <v>Территория 2</v>
      </c>
      <c r="N10" s="2400"/>
      <c r="O10" s="2399" t="str">
        <f>IF(O8="","",INDEX(DIFFERENTIATION_UNMERGE_AREA,MATCH(O8,DIFFERENTIATION_ID_DIFF,0)))</f>
        <v>Территория 1</v>
      </c>
      <c r="P10" s="2400"/>
      <c r="Q10" s="2399" t="str">
        <f>IF(Q8="","",INDEX(DIFFERENTIATION_UNMERGE_AREA,MATCH(Q8,DIFFERENTIATION_ID_DIFF,0)))</f>
        <v>Территория 1</v>
      </c>
      <c r="R10" s="2400"/>
      <c r="S10" s="2399" t="str">
        <f>IF(S8="","",INDEX(DIFFERENTIATION_UNMERGE_AREA,MATCH(S8,DIFFERENTIATION_ID_DIFF,0)))</f>
        <v>Территория 2</v>
      </c>
      <c r="T10" s="2400"/>
      <c r="U10" s="2399" t="str">
        <f>IF(U8="","",INDEX(DIFFERENTIATION_UNMERGE_AREA,MATCH(U8,DIFFERENTIATION_ID_DIFF,0)))</f>
        <v>Территория 1</v>
      </c>
      <c r="V10" s="2400"/>
      <c r="W10" s="2203"/>
      <c r="AG10" s="679"/>
      <c r="AH10" s="762">
        <v>15</v>
      </c>
    </row>
    <row s="1639" customFormat="1" customHeight="1" ht="15.75">
      <c r="A11" s="763"/>
      <c r="C11" s="180"/>
      <c r="D11" s="715"/>
      <c r="E11" s="2371" t="s">
        <v>583</v>
      </c>
      <c r="F11" s="2372"/>
      <c r="G11" s="2399" t="str">
        <f>IF(G8="","",INDEX(DIFFERENTIATION_UNMERGE_SYSTEM,MATCH(G8,DIFFERENTIATION_ID_DIFF,0)))</f>
        <v/>
      </c>
      <c r="H11" s="2400"/>
      <c r="I11" s="2399" t="str">
        <f>IF(I8="","",INDEX(DIFFERENTIATION_UNMERGE_SYSTEM,MATCH(I8,DIFFERENTIATION_ID_DIFF,0)))</f>
        <v>без дифференциации</v>
      </c>
      <c r="J11" s="2400"/>
      <c r="K11" s="2399" t="str">
        <f>IF(K8="","",INDEX(DIFFERENTIATION_UNMERGE_SYSTEM,MATCH(K8,DIFFERENTIATION_ID_DIFF,0)))</f>
        <v>без дифференциации</v>
      </c>
      <c r="L11" s="2400"/>
      <c r="M11" s="2399" t="str">
        <f>IF(M8="","",INDEX(DIFFERENTIATION_UNMERGE_SYSTEM,MATCH(M8,DIFFERENTIATION_ID_DIFF,0)))</f>
        <v>без дифференциации</v>
      </c>
      <c r="N11" s="2400"/>
      <c r="O11" s="2399" t="str">
        <f>IF(O8="","",INDEX(DIFFERENTIATION_UNMERGE_SYSTEM,MATCH(O8,DIFFERENTIATION_ID_DIFF,0)))</f>
        <v>без дифференциации</v>
      </c>
      <c r="P11" s="2400"/>
      <c r="Q11" s="2399" t="str">
        <f>IF(Q8="","",INDEX(DIFFERENTIATION_UNMERGE_SYSTEM,MATCH(Q8,DIFFERENTIATION_ID_DIFF,0)))</f>
        <v>без дифференциации</v>
      </c>
      <c r="R11" s="2400"/>
      <c r="S11" s="2399" t="str">
        <f>IF(S8="","",INDEX(DIFFERENTIATION_UNMERGE_SYSTEM,MATCH(S8,DIFFERENTIATION_ID_DIFF,0)))</f>
        <v>без дифференциации</v>
      </c>
      <c r="T11" s="2400"/>
      <c r="U11" s="2399" t="str">
        <f>IF(U8="","",INDEX(DIFFERENTIATION_UNMERGE_SYSTEM,MATCH(U8,DIFFERENTIATION_ID_DIFF,0)))</f>
        <v>без дифференциации</v>
      </c>
      <c r="V11" s="2400"/>
      <c r="W11" s="2203"/>
      <c r="AG11" s="679"/>
      <c r="AH11" s="762">
        <v>15</v>
      </c>
    </row>
    <row s="1639" customFormat="1" customHeight="1" ht="15.75">
      <c r="A12" s="763"/>
      <c r="C12" s="180"/>
      <c r="D12" s="2373" t="s">
        <v>318</v>
      </c>
      <c r="E12" s="2374"/>
      <c r="F12" s="2374"/>
      <c r="G12" s="891"/>
      <c r="H12" s="891"/>
      <c r="I12" s="891"/>
      <c r="J12" s="891"/>
      <c r="K12" s="2371"/>
      <c r="L12" s="2371"/>
      <c r="M12" s="2371"/>
      <c r="N12" s="2371"/>
      <c r="O12" s="2371"/>
      <c r="P12" s="2371"/>
      <c r="Q12" s="2371"/>
      <c r="R12" s="2371"/>
      <c r="S12" s="2371"/>
      <c r="T12" s="2371"/>
      <c r="U12" s="2371"/>
      <c r="V12" s="2371"/>
      <c r="W12" s="2203"/>
      <c r="AG12" s="679"/>
      <c r="AH12" s="762">
        <v>15</v>
      </c>
    </row>
    <row customHeight="1" ht="35.699999999999996">
      <c r="C13" s="180"/>
      <c r="D13" s="809" t="s">
        <v>88</v>
      </c>
      <c r="E13" s="811" t="s">
        <v>320</v>
      </c>
      <c r="F13" s="811" t="s">
        <v>584</v>
      </c>
      <c r="G13" s="812" t="s">
        <v>321</v>
      </c>
      <c r="H13" s="811" t="s">
        <v>408</v>
      </c>
      <c r="I13" s="812" t="s">
        <v>321</v>
      </c>
      <c r="J13" s="811" t="s">
        <v>408</v>
      </c>
      <c r="K13" s="2266" t="s">
        <v>321</v>
      </c>
      <c r="L13" s="2370" t="s">
        <v>408</v>
      </c>
      <c r="M13" s="2266" t="s">
        <v>321</v>
      </c>
      <c r="N13" s="2370" t="s">
        <v>408</v>
      </c>
      <c r="O13" s="2266" t="s">
        <v>321</v>
      </c>
      <c r="P13" s="2370" t="s">
        <v>408</v>
      </c>
      <c r="Q13" s="2266" t="s">
        <v>321</v>
      </c>
      <c r="R13" s="2370" t="s">
        <v>408</v>
      </c>
      <c r="S13" s="2266" t="s">
        <v>321</v>
      </c>
      <c r="T13" s="2370" t="s">
        <v>408</v>
      </c>
      <c r="U13" s="2266" t="s">
        <v>321</v>
      </c>
      <c r="V13" s="2370" t="s">
        <v>408</v>
      </c>
      <c r="W13" s="2236"/>
      <c r="AH13" s="509">
        <v>34</v>
      </c>
    </row>
    <row customHeight="1" ht="15" hidden="1">
      <c r="C14" s="180"/>
      <c r="D14" s="597" t="s">
        <v>119</v>
      </c>
      <c r="E14" s="597" t="s">
        <v>103</v>
      </c>
      <c r="F14" s="597" t="s">
        <v>90</v>
      </c>
      <c r="G14" s="663" t="str">
        <f>G1&amp;".1"</f>
        <v>4.1</v>
      </c>
      <c r="H14" s="663"/>
      <c r="I14" s="663" t="str">
        <f>I1&amp;".1"</f>
        <v>4.1</v>
      </c>
      <c r="J14" s="663"/>
      <c r="K14" s="687" t="str">
        <f>K1&amp;".1"</f>
        <v>3.1</v>
      </c>
      <c r="L14" s="687"/>
      <c r="M14" s="687" t="str">
        <f>M1&amp;".1"</f>
        <v>4.1</v>
      </c>
      <c r="N14" s="687"/>
      <c r="O14" s="687" t="str">
        <f>O1&amp;".1"</f>
        <v>4.1</v>
      </c>
      <c r="P14" s="687"/>
      <c r="Q14" s="687" t="str">
        <f>Q1&amp;".1"</f>
        <v>4.1</v>
      </c>
      <c r="R14" s="687"/>
      <c r="S14" s="687" t="str">
        <f>S1&amp;".1"</f>
        <v>4.1</v>
      </c>
      <c r="T14" s="687"/>
      <c r="U14" s="687" t="str">
        <f>U1&amp;".1"</f>
        <v>4.1</v>
      </c>
      <c r="V14" s="687"/>
      <c r="W14" s="293"/>
      <c r="AH14" s="509">
        <v>0</v>
      </c>
    </row>
    <row customHeight="1" ht="22.5" hidden="1">
      <c r="A15" s="509"/>
      <c r="C15" s="530"/>
      <c r="D15" s="525">
        <v>1</v>
      </c>
      <c r="E15" s="681" t="s">
        <v>1069</v>
      </c>
      <c r="F15" s="525" t="s">
        <v>1070</v>
      </c>
      <c r="G15" s="682"/>
      <c r="H15" s="682"/>
      <c r="I15" s="682"/>
      <c r="J15" s="682"/>
      <c r="K15" s="682"/>
      <c r="L15" s="682"/>
      <c r="M15" s="682"/>
      <c r="N15" s="682"/>
      <c r="O15" s="682"/>
      <c r="P15" s="682"/>
      <c r="Q15" s="682"/>
      <c r="R15" s="682"/>
      <c r="S15" s="682"/>
      <c r="T15" s="682"/>
      <c r="U15" s="682"/>
      <c r="V15" s="682"/>
      <c r="W15" s="293" t="s">
        <v>1071</v>
      </c>
      <c r="AH15" s="509">
        <v>0</v>
      </c>
    </row>
    <row customHeight="1" ht="22.5" hidden="1">
      <c r="A16" s="509"/>
      <c r="C16" s="530"/>
      <c r="D16" s="525">
        <v>2</v>
      </c>
      <c r="E16" s="283" t="s">
        <v>1072</v>
      </c>
      <c r="F16" s="525" t="s">
        <v>1073</v>
      </c>
      <c r="G16" s="682"/>
      <c r="H16" s="682"/>
      <c r="I16" s="682"/>
      <c r="J16" s="682"/>
      <c r="K16" s="682"/>
      <c r="L16" s="682"/>
      <c r="M16" s="682"/>
      <c r="N16" s="682"/>
      <c r="O16" s="682"/>
      <c r="P16" s="682"/>
      <c r="Q16" s="682"/>
      <c r="R16" s="682"/>
      <c r="S16" s="682"/>
      <c r="T16" s="682"/>
      <c r="U16" s="682"/>
      <c r="V16" s="682"/>
      <c r="W16" s="293" t="s">
        <v>1074</v>
      </c>
      <c r="AH16" s="509">
        <v>0</v>
      </c>
    </row>
    <row customHeight="1" ht="123.75" hidden="1">
      <c r="A17" s="509"/>
      <c r="C17" s="530"/>
      <c r="D17" s="525">
        <v>3</v>
      </c>
      <c r="E17" s="283" t="s">
        <v>1473</v>
      </c>
      <c r="F17" s="525" t="s">
        <v>324</v>
      </c>
      <c r="G17" s="682"/>
      <c r="H17" s="682"/>
      <c r="I17" s="682"/>
      <c r="J17" s="682"/>
      <c r="K17" s="682"/>
      <c r="L17" s="682"/>
      <c r="M17" s="682"/>
      <c r="N17" s="682"/>
      <c r="O17" s="682"/>
      <c r="P17" s="682"/>
      <c r="Q17" s="682"/>
      <c r="R17" s="682"/>
      <c r="S17" s="682"/>
      <c r="T17" s="682"/>
      <c r="U17" s="682"/>
      <c r="V17" s="682"/>
      <c r="W17" s="293" t="s">
        <v>1474</v>
      </c>
      <c r="AH17" s="509">
        <v>0</v>
      </c>
    </row>
    <row customHeight="1" ht="48.29999999999999">
      <c r="A18" s="509"/>
      <c r="C18" s="530"/>
      <c r="D18" s="525">
        <v>3</v>
      </c>
      <c r="E18" s="283" t="s">
        <v>1075</v>
      </c>
      <c r="F18" s="525" t="s">
        <v>324</v>
      </c>
      <c r="G18" s="813" t="s">
        <v>324</v>
      </c>
      <c r="H18" s="814" t="s">
        <v>324</v>
      </c>
      <c r="I18" s="525" t="s">
        <v>324</v>
      </c>
      <c r="J18" s="582" t="s">
        <v>324</v>
      </c>
      <c r="K18" s="2370" t="s">
        <v>324</v>
      </c>
      <c r="L18" s="2264" t="s">
        <v>324</v>
      </c>
      <c r="M18" s="2370" t="s">
        <v>324</v>
      </c>
      <c r="N18" s="2264" t="s">
        <v>324</v>
      </c>
      <c r="O18" s="2370" t="s">
        <v>324</v>
      </c>
      <c r="P18" s="2264" t="s">
        <v>324</v>
      </c>
      <c r="Q18" s="2370" t="s">
        <v>324</v>
      </c>
      <c r="R18" s="2264" t="s">
        <v>324</v>
      </c>
      <c r="S18" s="2370" t="s">
        <v>324</v>
      </c>
      <c r="T18" s="2264" t="s">
        <v>324</v>
      </c>
      <c r="U18" s="2370" t="s">
        <v>324</v>
      </c>
      <c r="V18" s="2264" t="s">
        <v>324</v>
      </c>
      <c r="W18" s="293" t="s">
        <v>1475</v>
      </c>
      <c r="AH18" s="509">
        <v>46</v>
      </c>
    </row>
    <row customHeight="1" ht="35.699999999999996">
      <c r="A19" s="509"/>
      <c r="C19" s="530"/>
      <c r="D19" s="543" t="s">
        <v>342</v>
      </c>
      <c r="E19" s="563" t="s">
        <v>1077</v>
      </c>
      <c r="F19" s="525" t="s">
        <v>1078</v>
      </c>
      <c r="G19" s="821"/>
      <c r="H19" s="110"/>
      <c r="I19" s="821"/>
      <c r="J19" s="822"/>
      <c r="K19" s="821"/>
      <c r="L19" s="2505"/>
      <c r="M19" s="821"/>
      <c r="N19" s="2505"/>
      <c r="O19" s="821"/>
      <c r="P19" s="2505"/>
      <c r="Q19" s="821"/>
      <c r="R19" s="2505"/>
      <c r="S19" s="821"/>
      <c r="T19" s="2505"/>
      <c r="U19" s="821"/>
      <c r="V19" s="2505"/>
      <c r="W19" s="683"/>
      <c r="AH19" s="509">
        <v>34</v>
      </c>
    </row>
    <row customHeight="1" ht="35.699999999999996">
      <c r="A20" s="509"/>
      <c r="C20" s="530"/>
      <c r="D20" s="1894" t="s">
        <v>350</v>
      </c>
      <c r="E20" s="563" t="s">
        <v>1079</v>
      </c>
      <c r="F20" s="525" t="s">
        <v>1080</v>
      </c>
      <c r="G20" s="821"/>
      <c r="H20" s="110"/>
      <c r="I20" s="821"/>
      <c r="J20" s="110"/>
      <c r="K20" s="821"/>
      <c r="L20" s="2505"/>
      <c r="M20" s="821"/>
      <c r="N20" s="2505"/>
      <c r="O20" s="821"/>
      <c r="P20" s="2505"/>
      <c r="Q20" s="821"/>
      <c r="R20" s="2505"/>
      <c r="S20" s="821"/>
      <c r="T20" s="2505"/>
      <c r="U20" s="821"/>
      <c r="V20" s="2505"/>
      <c r="W20" s="683"/>
      <c r="AH20" s="509">
        <v>34</v>
      </c>
    </row>
    <row customHeight="1" ht="48.29999999999999">
      <c r="A21" s="509"/>
      <c r="C21" s="530"/>
      <c r="D21" s="1894" t="s">
        <v>352</v>
      </c>
      <c r="E21" s="563" t="s">
        <v>1081</v>
      </c>
      <c r="F21" s="525" t="s">
        <v>591</v>
      </c>
      <c r="G21" s="684"/>
      <c r="H21" s="110"/>
      <c r="I21" s="684"/>
      <c r="J21" s="110"/>
      <c r="K21" s="2633"/>
      <c r="L21" s="2505"/>
      <c r="M21" s="2633"/>
      <c r="N21" s="2505"/>
      <c r="O21" s="2633"/>
      <c r="P21" s="2505"/>
      <c r="Q21" s="2633"/>
      <c r="R21" s="2505"/>
      <c r="S21" s="2633"/>
      <c r="T21" s="2505"/>
      <c r="U21" s="2633"/>
      <c r="V21" s="2505"/>
      <c r="W21" s="683"/>
      <c r="AH21" s="509">
        <v>46</v>
      </c>
    </row>
    <row customHeight="1" ht="67.5" hidden="1">
      <c r="A22" s="509"/>
      <c r="C22" s="530"/>
      <c r="D22" s="525">
        <v>5</v>
      </c>
      <c r="E22" s="283" t="s">
        <v>1476</v>
      </c>
      <c r="F22" s="525" t="s">
        <v>576</v>
      </c>
      <c r="G22" s="685"/>
      <c r="H22" s="686"/>
      <c r="I22" s="685"/>
      <c r="J22" s="686"/>
      <c r="K22" s="685"/>
      <c r="L22" s="1443"/>
      <c r="M22" s="685"/>
      <c r="N22" s="1443"/>
      <c r="O22" s="685"/>
      <c r="P22" s="1443"/>
      <c r="Q22" s="685"/>
      <c r="R22" s="1443"/>
      <c r="S22" s="685"/>
      <c r="T22" s="1443"/>
      <c r="U22" s="685"/>
      <c r="V22" s="1443"/>
      <c r="W22" s="293" t="s">
        <v>1477</v>
      </c>
      <c r="AH22" s="509">
        <v>0</v>
      </c>
    </row>
    <row customHeight="1" ht="33.75" hidden="1">
      <c r="C23" s="455"/>
      <c r="D23" s="525">
        <v>6</v>
      </c>
      <c r="E23" s="283" t="s">
        <v>1478</v>
      </c>
      <c r="F23" s="525" t="s">
        <v>1479</v>
      </c>
      <c r="G23" s="685"/>
      <c r="H23" s="685"/>
      <c r="I23" s="685"/>
      <c r="J23" s="685"/>
      <c r="K23" s="685"/>
      <c r="L23" s="685"/>
      <c r="M23" s="685"/>
      <c r="N23" s="685"/>
      <c r="O23" s="685"/>
      <c r="P23" s="685"/>
      <c r="Q23" s="685"/>
      <c r="R23" s="685"/>
      <c r="S23" s="685"/>
      <c r="T23" s="685"/>
      <c r="U23" s="685"/>
      <c r="V23" s="685"/>
      <c r="W23" s="293" t="s">
        <v>1480</v>
      </c>
      <c r="AH23" s="509">
        <v>0</v>
      </c>
    </row>
    <row customHeight="1" ht="15.75">
      <c r="K24" s="1639"/>
      <c r="L24" s="1639"/>
      <c r="M24" s="1639"/>
      <c r="N24" s="1639"/>
      <c r="O24" s="1639"/>
      <c r="P24" s="1639"/>
      <c r="Q24" s="1639"/>
      <c r="R24" s="1639"/>
      <c r="S24" s="1639"/>
      <c r="T24" s="1639"/>
      <c r="U24" s="1639"/>
      <c r="V24" s="1639"/>
      <c r="AH24" s="509">
        <v>15</v>
      </c>
    </row>
    <row customHeight="1" ht="15.75">
      <c r="K25" s="1639"/>
      <c r="L25" s="1639"/>
      <c r="M25" s="1639"/>
      <c r="N25" s="1639"/>
      <c r="O25" s="1639"/>
      <c r="P25" s="1639"/>
      <c r="Q25" s="1639"/>
      <c r="R25" s="1639"/>
      <c r="S25" s="1639"/>
      <c r="T25" s="1639"/>
      <c r="U25" s="1639"/>
      <c r="V25" s="1639"/>
      <c r="AH25" s="509">
        <v>15</v>
      </c>
    </row>
    <row customHeight="1" ht="15.75">
      <c r="K26" s="1639"/>
      <c r="L26" s="1639"/>
      <c r="M26" s="1639"/>
      <c r="N26" s="1639"/>
      <c r="O26" s="1639"/>
      <c r="P26" s="1639"/>
      <c r="Q26" s="1639"/>
      <c r="R26" s="1639"/>
      <c r="S26" s="1639"/>
      <c r="T26" s="1639"/>
      <c r="U26" s="1639"/>
      <c r="V26" s="1639"/>
      <c r="AH26" s="509">
        <v>15</v>
      </c>
    </row>
    <row customHeight="1" ht="15.75">
      <c r="K27" s="1639"/>
      <c r="L27" s="1639"/>
      <c r="M27" s="1639"/>
      <c r="N27" s="1639"/>
      <c r="O27" s="1639"/>
      <c r="P27" s="1639"/>
      <c r="Q27" s="1639"/>
      <c r="R27" s="1639"/>
      <c r="S27" s="1639"/>
      <c r="T27" s="1639"/>
      <c r="U27" s="1639"/>
      <c r="V27" s="1639"/>
      <c r="AH27" s="509">
        <v>15</v>
      </c>
    </row>
    <row customHeight="1" ht="15.75">
      <c r="K28" s="1639"/>
      <c r="L28" s="1639"/>
      <c r="M28" s="1639"/>
      <c r="N28" s="1639"/>
      <c r="O28" s="1639"/>
      <c r="P28" s="1639"/>
      <c r="Q28" s="1639"/>
      <c r="R28" s="1639"/>
      <c r="S28" s="1639"/>
      <c r="T28" s="1639"/>
      <c r="U28" s="1639"/>
      <c r="V28" s="1639"/>
      <c r="AH28" s="509">
        <v>15</v>
      </c>
    </row>
    <row customHeight="1" ht="15.75">
      <c r="J29" s="823"/>
      <c r="K29" s="1639"/>
      <c r="L29" s="1639"/>
      <c r="M29" s="1639"/>
      <c r="N29" s="1639"/>
      <c r="O29" s="1639"/>
      <c r="P29" s="1639"/>
      <c r="Q29" s="1639"/>
      <c r="R29" s="1639"/>
      <c r="S29" s="1639"/>
      <c r="T29" s="1639"/>
      <c r="U29" s="1639"/>
      <c r="V29" s="1639"/>
      <c r="AH29" s="509">
        <v>15</v>
      </c>
    </row>
    <row customHeight="1" ht="22.5" hidden="1">
      <c r="A30" s="453" t="s">
        <v>82</v>
      </c>
      <c r="B30" s="509">
        <v>0</v>
      </c>
      <c r="C30" s="687">
        <v>4</v>
      </c>
      <c r="D30" s="509">
        <v>6</v>
      </c>
      <c r="E30" s="509">
        <v>47</v>
      </c>
      <c r="F30" s="509">
        <v>9</v>
      </c>
      <c r="G30" s="762">
        <v>0</v>
      </c>
      <c r="H30" s="762">
        <v>0</v>
      </c>
      <c r="I30" s="509">
        <v>25</v>
      </c>
      <c r="J30" s="509">
        <v>33</v>
      </c>
      <c r="K30" s="1639">
        <v>0</v>
      </c>
      <c r="L30" s="1639">
        <v>0</v>
      </c>
      <c r="M30" s="1639">
        <v>0</v>
      </c>
      <c r="N30" s="1639">
        <v>0</v>
      </c>
      <c r="O30" s="1639">
        <v>0</v>
      </c>
      <c r="P30" s="1639">
        <v>0</v>
      </c>
      <c r="Q30" s="1639">
        <v>0</v>
      </c>
      <c r="R30" s="1639">
        <v>0</v>
      </c>
      <c r="S30" s="1639">
        <v>0</v>
      </c>
      <c r="T30" s="1639">
        <v>0</v>
      </c>
      <c r="U30" s="1639">
        <v>0</v>
      </c>
      <c r="V30" s="1639">
        <v>0</v>
      </c>
      <c r="W30" s="421">
        <v>50</v>
      </c>
      <c r="X30" s="509">
        <v>10</v>
      </c>
      <c r="Y30" s="509">
        <v>10</v>
      </c>
      <c r="Z30" s="509">
        <v>10</v>
      </c>
      <c r="AA30" s="509">
        <v>10</v>
      </c>
      <c r="AB30" s="509">
        <v>10</v>
      </c>
      <c r="AC30" s="509">
        <v>10</v>
      </c>
      <c r="AD30" s="509">
        <v>10</v>
      </c>
      <c r="AE30" s="509">
        <v>10</v>
      </c>
      <c r="AF30" s="509">
        <v>10</v>
      </c>
      <c r="AG30" s="679">
        <v>10</v>
      </c>
      <c r="AH30" s="509">
        <v>23</v>
      </c>
    </row>
  </sheetData>
  <sheetProtection formatColumns="0" formatRows="0" autoFilter="0" sort="0" insertRows="0" insertColumns="1" deleteRows="0" deleteColumns="0"/>
  <mergeCells count="3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AAC597C-51DC-1CE3-599B-9B03756A4B71}"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6" width="32.57421875" customWidth="1"/>
    <col min="2" max="2" style="1854" width="11.00390625" customWidth="1"/>
    <col min="3" max="3" style="1854" width="9.140625"/>
    <col min="4" max="4" style="1854" width="26.57421875" customWidth="1"/>
    <col min="5" max="5" style="1827" width="36.8515625" customWidth="1"/>
    <col min="6" max="6" style="1827" width="23.57421875" customWidth="1"/>
    <col min="7" max="7" style="1827" width="31.421875" customWidth="1"/>
    <col min="8" max="8" style="1827" width="40.8515625" customWidth="1"/>
    <col min="9" max="9" style="1827" width="14.57421875" customWidth="1"/>
    <col min="10" max="10" style="1827" width="26.8515625" customWidth="1"/>
    <col min="11" max="11" style="1827" width="50.00390625" customWidth="1"/>
    <col min="12" max="12" style="1827" width="52.421875" customWidth="1"/>
    <col min="13" max="13" style="1827" width="10.7109375" customWidth="1"/>
    <col min="14" max="14" style="1827" width="55.140625" customWidth="1"/>
    <col min="15" max="15" style="1827" width="31.8515625" customWidth="1"/>
    <col min="16" max="16" style="1827" width="23.8515625" customWidth="1"/>
    <col min="17" max="17" style="1827" width="46.57421875" customWidth="1"/>
    <col min="18" max="18" style="1827" width="24.00390625" customWidth="1"/>
    <col min="19" max="19" style="1827" width="20.57421875" customWidth="1"/>
    <col min="20" max="20" style="1827" width="22.00390625" customWidth="1"/>
    <col min="21" max="22" style="1827" width="26.421875" customWidth="1"/>
    <col min="23" max="23" style="1827" width="8.28125" hidden="1" customWidth="1"/>
    <col min="24" max="24" style="1827" width="59.7109375" customWidth="1"/>
    <col min="25" max="25" style="1827" width="49.140625" customWidth="1"/>
    <col min="26" max="26" style="1827" width="11.140625" customWidth="1"/>
    <col min="27" max="30" style="1827" width="29.00390625" customWidth="1"/>
    <col min="31" max="31" style="1827" width="9.140625"/>
    <col min="32" max="32" style="1827" width="34.7109375" customWidth="1"/>
    <col min="33" max="33" style="1827" width="9.140625"/>
    <col min="34" max="35" style="1827" width="34.421875" customWidth="1"/>
    <col min="36" max="36" style="1827" width="9.140625"/>
    <col min="37" max="37" style="1827" width="24.57421875" customWidth="1"/>
    <col min="38" max="38" style="1827" width="9.140625"/>
    <col min="39" max="39" style="1827" width="26.140625" customWidth="1"/>
    <col min="40" max="40" style="1827" width="1.7109375" customWidth="1"/>
    <col min="41" max="41" style="1827" width="9.140625"/>
    <col min="42" max="43" style="1827" width="47.8515625" customWidth="1"/>
    <col min="44" max="44" style="1827" width="1.7109375" customWidth="1"/>
    <col min="45" max="45" style="1827" width="21.421875" customWidth="1"/>
    <col min="46" max="46" style="1827" width="1.7109375" customWidth="1"/>
    <col min="47" max="47" style="1827" width="31.28125" customWidth="1"/>
    <col min="48" max="48" style="1827" width="1.7109375" customWidth="1"/>
    <col min="49" max="50" style="1827" width="9.140625"/>
    <col min="51" max="51" style="1827" width="3.7109375" customWidth="1"/>
    <col min="52" max="52" style="1827" width="60.8515625" customWidth="1"/>
    <col min="53" max="53" style="1827" width="49.28125" customWidth="1"/>
    <col min="54" max="54" style="1827" width="35.140625" customWidth="1"/>
    <col min="55" max="55" style="1827" width="9.140625"/>
    <col min="56" max="56" style="1827" width="1.7109375" customWidth="1"/>
    <col min="57" max="57" style="1070" width="12.57421875" customWidth="1"/>
    <col min="58" max="58" style="1070" width="14.28125" customWidth="1"/>
    <col min="59" max="59" style="1827"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7" width="9.140625"/>
    <col min="69" max="69" style="1827" width="18.140625" customWidth="1"/>
    <col min="70" max="70" style="1827" width="57.8515625" customWidth="1"/>
    <col min="71" max="71" style="1827" width="1.7109375" customWidth="1"/>
    <col min="72" max="72" style="1827" width="22.57421875" customWidth="1"/>
    <col min="73" max="73" style="1827" width="57.8515625" customWidth="1"/>
    <col min="74" max="74" style="1827" width="1.7109375" customWidth="1"/>
    <col min="75" max="75" style="1827" width="22.57421875" customWidth="1"/>
    <col min="76" max="76" style="1827" width="57.8515625" customWidth="1"/>
    <col min="77" max="77" style="1827" width="1.7109375" customWidth="1"/>
    <col min="78" max="78" style="1827" width="22.57421875" customWidth="1"/>
    <col min="79" max="79" style="1827" width="57.8515625" customWidth="1"/>
    <col min="80" max="81" style="1827" width="9.140625"/>
    <col min="82" max="82" style="1827" width="49.57421875" customWidth="1"/>
  </cols>
  <sheetData>
    <row s="1431" customFormat="1" customHeight="1" ht="11.25">
      <c r="A1" s="1071" t="s">
        <v>1481</v>
      </c>
      <c r="B1" s="1071" t="s">
        <v>1482</v>
      </c>
      <c r="C1" s="1071" t="s">
        <v>1483</v>
      </c>
      <c r="D1" s="1071" t="s">
        <v>1484</v>
      </c>
      <c r="E1" s="1071" t="s">
        <v>1485</v>
      </c>
      <c r="F1" s="1071" t="s">
        <v>1486</v>
      </c>
      <c r="G1" s="1071" t="s">
        <v>1487</v>
      </c>
      <c r="H1" s="1071" t="s">
        <v>1488</v>
      </c>
      <c r="I1" s="1071" t="s">
        <v>1489</v>
      </c>
      <c r="J1" s="1071" t="s">
        <v>1490</v>
      </c>
      <c r="K1" s="1071" t="s">
        <v>1491</v>
      </c>
      <c r="L1" s="1071" t="s">
        <v>1492</v>
      </c>
      <c r="M1" s="1071"/>
      <c r="N1" s="1071" t="s">
        <v>1493</v>
      </c>
      <c r="O1" s="1071" t="s">
        <v>1494</v>
      </c>
      <c r="P1" s="1071" t="s">
        <v>1495</v>
      </c>
      <c r="Q1" s="1071" t="s">
        <v>1496</v>
      </c>
      <c r="R1" s="1071" t="s">
        <v>1497</v>
      </c>
      <c r="S1" s="1071" t="s">
        <v>1498</v>
      </c>
      <c r="T1" s="1071" t="s">
        <v>1499</v>
      </c>
      <c r="U1" s="1071" t="s">
        <v>1500</v>
      </c>
      <c r="V1" s="1071"/>
      <c r="W1" s="801" t="s">
        <v>1501</v>
      </c>
      <c r="X1" s="1071" t="s">
        <v>1502</v>
      </c>
      <c r="Y1" s="1071" t="s">
        <v>1503</v>
      </c>
      <c r="Z1" s="1071"/>
      <c r="AA1" s="1071" t="s">
        <v>1504</v>
      </c>
      <c r="AB1" s="1071"/>
      <c r="AC1" s="1071" t="s">
        <v>1505</v>
      </c>
      <c r="AD1" s="1071"/>
      <c r="AF1" s="1071" t="s">
        <v>1506</v>
      </c>
      <c r="AH1" s="1071" t="s">
        <v>1507</v>
      </c>
      <c r="AI1" s="1071" t="s">
        <v>1508</v>
      </c>
      <c r="AK1" s="1071" t="s">
        <v>1509</v>
      </c>
      <c r="AM1" s="1071" t="s">
        <v>1510</v>
      </c>
      <c r="AP1" s="1071" t="s">
        <v>1511</v>
      </c>
      <c r="AQ1" s="1071" t="s">
        <v>1512</v>
      </c>
      <c r="AS1" s="1071" t="s">
        <v>1513</v>
      </c>
      <c r="AU1" s="1071" t="s">
        <v>1514</v>
      </c>
      <c r="AW1" s="1071" t="s">
        <v>1515</v>
      </c>
      <c r="AX1" s="1071" t="s">
        <v>1516</v>
      </c>
      <c r="AZ1" s="1156" t="s">
        <v>1517</v>
      </c>
      <c r="BB1" s="1071" t="s">
        <v>1518</v>
      </c>
      <c r="BC1" s="1071"/>
      <c r="BE1" s="1071" t="s">
        <v>1519</v>
      </c>
      <c r="BF1" s="1071" t="s">
        <v>1520</v>
      </c>
      <c r="BH1" s="1073" t="s">
        <v>1068</v>
      </c>
      <c r="BI1" s="1074"/>
      <c r="BJ1" s="1075" t="s">
        <v>1521</v>
      </c>
      <c r="BK1" s="1074"/>
      <c r="BL1" s="1076" t="s">
        <v>1171</v>
      </c>
      <c r="BM1" s="1074"/>
      <c r="BN1" s="1077" t="s">
        <v>1522</v>
      </c>
      <c r="BS1" s="1431"/>
    </row>
    <row customHeight="1" ht="11.25">
      <c r="A2" s="1078" t="s">
        <v>1523</v>
      </c>
      <c r="B2" s="1079">
        <v>2000</v>
      </c>
      <c r="C2" s="1079">
        <v>2022</v>
      </c>
      <c r="D2" s="1079" t="s">
        <v>62</v>
      </c>
      <c r="E2" s="1080" t="s">
        <v>1524</v>
      </c>
      <c r="F2" s="1080" t="s">
        <v>1525</v>
      </c>
      <c r="G2" s="1080" t="s">
        <v>1526</v>
      </c>
      <c r="H2" s="1081" t="s">
        <v>54</v>
      </c>
      <c r="I2" s="1080" t="s">
        <v>119</v>
      </c>
      <c r="J2" s="1080" t="s">
        <v>1527</v>
      </c>
      <c r="K2" s="1082" t="s">
        <v>1528</v>
      </c>
      <c r="L2" s="1083"/>
      <c r="M2" s="1082">
        <v>1</v>
      </c>
      <c r="N2" s="1166" t="s">
        <v>1529</v>
      </c>
      <c r="O2" s="1081" t="s">
        <v>1530</v>
      </c>
      <c r="P2" s="1084" t="s">
        <v>37</v>
      </c>
      <c r="Q2" s="1085" t="s">
        <v>1531</v>
      </c>
      <c r="R2" s="147" t="s">
        <v>1532</v>
      </c>
      <c r="S2" s="147" t="s">
        <v>1533</v>
      </c>
      <c r="T2" s="1086" t="s">
        <v>1534</v>
      </c>
      <c r="U2" s="1083" t="s">
        <v>1535</v>
      </c>
      <c r="V2" s="1087">
        <v>1</v>
      </c>
      <c r="W2" s="1088"/>
      <c r="X2" s="1088" t="s">
        <v>1536</v>
      </c>
      <c r="Y2" s="1079" t="s">
        <v>1537</v>
      </c>
      <c r="Z2" s="1089"/>
      <c r="AA2" s="1079" t="s">
        <v>1538</v>
      </c>
      <c r="AB2" s="1090" t="s">
        <v>1538</v>
      </c>
      <c r="AC2" s="1079" t="s">
        <v>1539</v>
      </c>
      <c r="AD2" s="1090" t="s">
        <v>1539</v>
      </c>
      <c r="AF2" s="1081" t="s">
        <v>1535</v>
      </c>
      <c r="AH2" s="1080" t="s">
        <v>1540</v>
      </c>
      <c r="AI2" s="1080" t="s">
        <v>1540</v>
      </c>
      <c r="AK2" s="1080" t="s">
        <v>1541</v>
      </c>
      <c r="AM2" s="1080" t="s">
        <v>1542</v>
      </c>
      <c r="AP2" s="1091" t="s">
        <v>1536</v>
      </c>
      <c r="AQ2" s="1092" t="s">
        <v>1536</v>
      </c>
      <c r="AS2" s="1079" t="s">
        <v>1543</v>
      </c>
      <c r="AU2" s="1124" t="s">
        <v>1544</v>
      </c>
      <c r="AW2" s="1124" t="s">
        <v>1545</v>
      </c>
      <c r="AX2" s="1124" t="s">
        <v>1545</v>
      </c>
      <c r="AZ2" s="1124" t="s">
        <v>52</v>
      </c>
      <c r="BB2" s="1124" t="s">
        <v>587</v>
      </c>
      <c r="BC2" s="1124" t="s">
        <v>588</v>
      </c>
      <c r="BE2" s="1124">
        <v>2000</v>
      </c>
      <c r="BF2" s="1124" t="s">
        <v>1546</v>
      </c>
    </row>
    <row customHeight="1" ht="11.25">
      <c r="A3" s="1078" t="s">
        <v>1547</v>
      </c>
      <c r="B3" s="1079">
        <v>2001</v>
      </c>
      <c r="C3" s="1079">
        <v>2023</v>
      </c>
      <c r="D3" s="1079" t="s">
        <v>19</v>
      </c>
      <c r="E3" s="1080" t="s">
        <v>1548</v>
      </c>
      <c r="F3" s="1080" t="s">
        <v>1549</v>
      </c>
      <c r="G3" s="1080" t="s">
        <v>1550</v>
      </c>
      <c r="H3" s="1081" t="s">
        <v>1551</v>
      </c>
      <c r="I3" s="1080" t="s">
        <v>103</v>
      </c>
      <c r="J3" s="1080" t="s">
        <v>574</v>
      </c>
      <c r="K3" s="1082" t="s">
        <v>1552</v>
      </c>
      <c r="L3" s="1083">
        <f>_xlfn.IFERROR(MATCH(K3,OFFER_METHOD,0),0)</f>
        <v>0</v>
      </c>
      <c r="M3" s="1082">
        <v>2</v>
      </c>
      <c r="N3" s="1166" t="s">
        <v>1553</v>
      </c>
      <c r="O3" s="1081" t="s">
        <v>1554</v>
      </c>
      <c r="P3" s="1084" t="s">
        <v>1555</v>
      </c>
      <c r="Q3" s="1085" t="s">
        <v>1556</v>
      </c>
      <c r="R3" s="147" t="s">
        <v>1557</v>
      </c>
      <c r="S3" s="147" t="s">
        <v>1558</v>
      </c>
      <c r="T3" s="1086" t="s">
        <v>1559</v>
      </c>
      <c r="U3" s="1083" t="s">
        <v>1560</v>
      </c>
      <c r="V3" s="1087">
        <v>2</v>
      </c>
      <c r="W3" s="1088"/>
      <c r="X3" s="1088" t="s">
        <v>1561</v>
      </c>
      <c r="Y3" s="1079" t="s">
        <v>1537</v>
      </c>
      <c r="Z3" s="1089"/>
      <c r="AA3" s="1079" t="s">
        <v>1562</v>
      </c>
      <c r="AB3" s="1090" t="s">
        <v>1562</v>
      </c>
      <c r="AC3" s="1079" t="s">
        <v>1563</v>
      </c>
      <c r="AD3" s="1090" t="s">
        <v>1563</v>
      </c>
      <c r="AF3" s="1081" t="s">
        <v>1560</v>
      </c>
      <c r="AH3" s="1080" t="s">
        <v>1564</v>
      </c>
      <c r="AI3" s="1080" t="s">
        <v>1565</v>
      </c>
      <c r="AK3" s="1080" t="s">
        <v>1566</v>
      </c>
      <c r="AM3" s="1080" t="s">
        <v>1567</v>
      </c>
      <c r="AP3" s="1091" t="s">
        <v>1568</v>
      </c>
      <c r="AQ3" s="1092" t="s">
        <v>1568</v>
      </c>
      <c r="AS3" s="1079" t="s">
        <v>1569</v>
      </c>
      <c r="AU3" s="1124" t="s">
        <v>1570</v>
      </c>
      <c r="AW3" s="1124" t="s">
        <v>1571</v>
      </c>
      <c r="AX3" s="1124" t="s">
        <v>1571</v>
      </c>
      <c r="AZ3" s="1124" t="s">
        <v>1572</v>
      </c>
      <c r="BB3" s="1124" t="s">
        <v>1573</v>
      </c>
      <c r="BC3" s="1124" t="s">
        <v>588</v>
      </c>
      <c r="BE3" s="1124">
        <v>2001</v>
      </c>
      <c r="BF3" s="1124" t="s">
        <v>1574</v>
      </c>
      <c r="BH3" s="1071" t="s">
        <v>1575</v>
      </c>
      <c r="BJ3" s="1071" t="s">
        <v>1576</v>
      </c>
      <c r="BL3" s="1071" t="s">
        <v>1577</v>
      </c>
      <c r="BN3" s="1071" t="s">
        <v>1578</v>
      </c>
      <c r="BR3" s="1071" t="s">
        <v>1579</v>
      </c>
      <c r="BS3" s="1432"/>
      <c r="BT3" s="1074"/>
      <c r="BU3" s="1071" t="s">
        <v>1580</v>
      </c>
      <c r="BV3" s="1074"/>
      <c r="BW3" s="1694"/>
      <c r="BX3" s="1696" t="s">
        <v>1581</v>
      </c>
      <c r="CA3" s="1071" t="s">
        <v>1582</v>
      </c>
    </row>
    <row customHeight="1" ht="11.25">
      <c r="A4" s="1078" t="s">
        <v>1583</v>
      </c>
      <c r="B4" s="1079">
        <v>2002</v>
      </c>
      <c r="C4" s="1079">
        <v>2024</v>
      </c>
      <c r="E4" s="1080" t="s">
        <v>1584</v>
      </c>
      <c r="F4" s="1080" t="s">
        <v>1585</v>
      </c>
      <c r="H4" s="1081" t="s">
        <v>1586</v>
      </c>
      <c r="I4" s="1080" t="s">
        <v>90</v>
      </c>
      <c r="J4" s="1080" t="s">
        <v>1587</v>
      </c>
      <c r="K4" s="1082" t="s">
        <v>1588</v>
      </c>
      <c r="L4" s="1083">
        <f>_xlfn.IFERROR(MATCH(K4,OFFER_METHOD,0),0)</f>
        <v>0</v>
      </c>
      <c r="M4" s="1082">
        <v>3</v>
      </c>
      <c r="N4" s="1166" t="s">
        <v>1589</v>
      </c>
      <c r="O4" s="1080" t="s">
        <v>1590</v>
      </c>
      <c r="Q4" s="1085" t="s">
        <v>1591</v>
      </c>
      <c r="R4" s="147" t="s">
        <v>1592</v>
      </c>
      <c r="S4" s="147" t="s">
        <v>1593</v>
      </c>
      <c r="T4" s="1086" t="s">
        <v>1594</v>
      </c>
      <c r="U4" s="1083" t="s">
        <v>1595</v>
      </c>
      <c r="V4" s="1087">
        <v>3</v>
      </c>
      <c r="W4" s="1088"/>
      <c r="X4" s="1088" t="s">
        <v>1596</v>
      </c>
      <c r="Y4" s="1079" t="s">
        <v>1537</v>
      </c>
      <c r="Z4" s="1095"/>
      <c r="AC4" s="1079" t="s">
        <v>1597</v>
      </c>
      <c r="AD4" s="1090" t="s">
        <v>1597</v>
      </c>
      <c r="AF4" s="1081" t="s">
        <v>1595</v>
      </c>
      <c r="AH4" s="1081" t="s">
        <v>1598</v>
      </c>
      <c r="AK4" s="1080" t="s">
        <v>1599</v>
      </c>
      <c r="AM4" s="1080" t="s">
        <v>1600</v>
      </c>
      <c r="AP4" s="1091" t="s">
        <v>1561</v>
      </c>
      <c r="AQ4" s="1092" t="s">
        <v>1561</v>
      </c>
      <c r="AS4" s="1079" t="s">
        <v>1601</v>
      </c>
      <c r="AU4" s="1124" t="s">
        <v>1602</v>
      </c>
      <c r="AW4" s="1124" t="s">
        <v>1603</v>
      </c>
      <c r="AX4" s="1124" t="s">
        <v>1603</v>
      </c>
      <c r="AZ4" s="1124" t="s">
        <v>1604</v>
      </c>
      <c r="BB4" s="1124" t="s">
        <v>1605</v>
      </c>
      <c r="BC4" s="1124" t="s">
        <v>1606</v>
      </c>
      <c r="BE4" s="1124">
        <v>2002</v>
      </c>
      <c r="BF4" s="1124" t="s">
        <v>1607</v>
      </c>
      <c r="BH4" s="1072" t="s">
        <v>1608</v>
      </c>
      <c r="BJ4" s="1072" t="s">
        <v>1608</v>
      </c>
      <c r="BL4" s="1072" t="s">
        <v>1608</v>
      </c>
      <c r="BN4" s="1072" t="s">
        <v>1608</v>
      </c>
      <c r="BQ4" s="1436" t="s">
        <v>1609</v>
      </c>
      <c r="BR4" s="1163" t="s">
        <v>1610</v>
      </c>
      <c r="BS4" s="278"/>
      <c r="BT4" s="1436" t="s">
        <v>1611</v>
      </c>
      <c r="BU4" s="1163" t="s">
        <v>1612</v>
      </c>
      <c r="BV4" s="1074"/>
      <c r="BW4" s="1701" t="s">
        <v>1613</v>
      </c>
      <c r="BX4" s="1695" t="s">
        <v>1614</v>
      </c>
      <c r="BZ4" s="1436" t="s">
        <v>1615</v>
      </c>
      <c r="CA4" s="1163" t="s">
        <v>1616</v>
      </c>
    </row>
    <row customHeight="1" ht="11.25">
      <c r="A5" s="1078" t="s">
        <v>1617</v>
      </c>
      <c r="B5" s="1079">
        <v>2003</v>
      </c>
      <c r="C5" s="1079">
        <v>2025</v>
      </c>
      <c r="E5" s="1080" t="s">
        <v>1618</v>
      </c>
      <c r="F5" s="1080" t="s">
        <v>1619</v>
      </c>
      <c r="H5" s="1081" t="s">
        <v>1620</v>
      </c>
      <c r="I5" s="1080" t="s">
        <v>91</v>
      </c>
      <c r="K5" s="1082" t="s">
        <v>1621</v>
      </c>
      <c r="L5" s="1083">
        <f>_xlfn.IFERROR(MATCH(K5,OFFER_METHOD,0),0)</f>
        <v>0</v>
      </c>
      <c r="M5" s="1082">
        <v>4</v>
      </c>
      <c r="N5" s="1096" t="s">
        <v>1622</v>
      </c>
      <c r="O5" s="1080" t="s">
        <v>1623</v>
      </c>
      <c r="Q5" s="1085" t="s">
        <v>1624</v>
      </c>
      <c r="R5" s="147" t="s">
        <v>1625</v>
      </c>
      <c r="T5" s="1081" t="s">
        <v>1626</v>
      </c>
      <c r="U5" s="1083" t="s">
        <v>1627</v>
      </c>
      <c r="V5" s="1087">
        <v>4</v>
      </c>
      <c r="W5" s="1088"/>
      <c r="X5" s="1088" t="s">
        <v>186</v>
      </c>
      <c r="Y5" s="1079" t="s">
        <v>1628</v>
      </c>
      <c r="Z5" s="1095">
        <v>1</v>
      </c>
      <c r="AF5" s="1081" t="s">
        <v>1629</v>
      </c>
      <c r="AH5" s="1080" t="s">
        <v>1630</v>
      </c>
      <c r="AK5" s="1080" t="s">
        <v>1631</v>
      </c>
      <c r="AM5" s="1080" t="s">
        <v>1632</v>
      </c>
      <c r="AP5" s="1091" t="s">
        <v>186</v>
      </c>
      <c r="AQ5" s="1092" t="s">
        <v>186</v>
      </c>
      <c r="AU5" s="1124" t="s">
        <v>1633</v>
      </c>
      <c r="AW5" s="1124" t="s">
        <v>1634</v>
      </c>
      <c r="AX5" s="1124" t="s">
        <v>1634</v>
      </c>
      <c r="AZ5" s="1124" t="s">
        <v>1635</v>
      </c>
      <c r="BB5" s="1124" t="s">
        <v>1636</v>
      </c>
      <c r="BC5" s="1124" t="s">
        <v>1637</v>
      </c>
      <c r="BE5" s="1124">
        <v>2003</v>
      </c>
      <c r="BF5" s="1124" t="s">
        <v>1638</v>
      </c>
      <c r="BH5" s="1072" t="s">
        <v>1317</v>
      </c>
      <c r="BJ5" s="1072" t="s">
        <v>1317</v>
      </c>
      <c r="BL5" s="1072" t="s">
        <v>1317</v>
      </c>
      <c r="BN5" s="1072" t="s">
        <v>1639</v>
      </c>
      <c r="BQ5" s="1285">
        <v>4213775</v>
      </c>
      <c r="BR5" s="1072" t="s">
        <v>1536</v>
      </c>
      <c r="BS5" s="1433"/>
      <c r="BT5" s="1285">
        <v>64236871</v>
      </c>
      <c r="BU5" s="1072" t="s">
        <v>247</v>
      </c>
      <c r="BV5" s="1074"/>
      <c r="BW5" s="1699">
        <v>4213767</v>
      </c>
      <c r="BX5" s="1697" t="s">
        <v>1640</v>
      </c>
      <c r="BZ5" s="1285">
        <v>64237509</v>
      </c>
      <c r="CA5" s="1299" t="s">
        <v>1641</v>
      </c>
    </row>
    <row customHeight="1" ht="11.25">
      <c r="A6" s="1078" t="s">
        <v>1642</v>
      </c>
      <c r="B6" s="1079">
        <v>2004</v>
      </c>
      <c r="C6" s="1079">
        <v>2026</v>
      </c>
      <c r="E6" s="1080" t="s">
        <v>1643</v>
      </c>
      <c r="F6" s="1097"/>
      <c r="H6" s="1081" t="s">
        <v>1644</v>
      </c>
      <c r="I6" s="1080" t="s">
        <v>120</v>
      </c>
      <c r="J6" s="1071" t="s">
        <v>1645</v>
      </c>
      <c r="L6" s="1083">
        <f>SUM(kind_of_control_method_filter)</f>
        <v>0</v>
      </c>
      <c r="N6" s="1096" t="s">
        <v>1646</v>
      </c>
      <c r="O6" s="1080" t="s">
        <v>1647</v>
      </c>
      <c r="R6" s="147" t="s">
        <v>1531</v>
      </c>
      <c r="T6" s="1081" t="s">
        <v>1648</v>
      </c>
      <c r="U6" s="1083" t="s">
        <v>1629</v>
      </c>
      <c r="V6" s="1087">
        <v>5</v>
      </c>
      <c r="W6" s="1088"/>
      <c r="X6" s="1079" t="s">
        <v>192</v>
      </c>
      <c r="Y6" s="1079" t="s">
        <v>1649</v>
      </c>
      <c r="Z6" s="1095"/>
      <c r="AA6" s="1098"/>
      <c r="AH6" s="1080" t="s">
        <v>1650</v>
      </c>
      <c r="AK6" s="1080" t="s">
        <v>1651</v>
      </c>
      <c r="AM6" s="1080" t="s">
        <v>1652</v>
      </c>
      <c r="AP6" s="1091" t="s">
        <v>192</v>
      </c>
      <c r="AQ6" s="1092" t="s">
        <v>192</v>
      </c>
      <c r="AU6" s="1124" t="s">
        <v>1653</v>
      </c>
      <c r="AW6" s="1124" t="s">
        <v>1654</v>
      </c>
      <c r="AX6" s="1124" t="s">
        <v>1654</v>
      </c>
      <c r="BB6" s="1124" t="s">
        <v>1655</v>
      </c>
      <c r="BC6" s="1124" t="s">
        <v>1637</v>
      </c>
      <c r="BE6" s="1124">
        <v>2004</v>
      </c>
      <c r="BF6" s="1124" t="s">
        <v>1656</v>
      </c>
      <c r="BH6" s="1072" t="s">
        <v>1657</v>
      </c>
      <c r="BJ6" s="1072" t="s">
        <v>1658</v>
      </c>
      <c r="BL6" s="1072" t="s">
        <v>1658</v>
      </c>
      <c r="BN6" s="1072" t="s">
        <v>1659</v>
      </c>
      <c r="BQ6" s="1285">
        <v>4213784</v>
      </c>
      <c r="BR6" s="1299" t="s">
        <v>1568</v>
      </c>
      <c r="BS6" s="1434"/>
      <c r="BT6" s="1285">
        <v>64236872</v>
      </c>
      <c r="BU6" s="1072" t="s">
        <v>252</v>
      </c>
      <c r="BV6" s="1074"/>
      <c r="BW6" s="1699">
        <v>4213768</v>
      </c>
      <c r="BX6" s="1697" t="s">
        <v>272</v>
      </c>
      <c r="BZ6" s="1285">
        <v>64237510</v>
      </c>
      <c r="CA6" s="1072" t="s">
        <v>1660</v>
      </c>
    </row>
    <row customHeight="1" ht="11.25">
      <c r="A7" s="1078" t="s">
        <v>1661</v>
      </c>
      <c r="B7" s="1079">
        <v>2005</v>
      </c>
      <c r="E7" s="1080" t="s">
        <v>1662</v>
      </c>
      <c r="F7" s="1097"/>
      <c r="H7" s="1081" t="s">
        <v>1663</v>
      </c>
      <c r="I7" s="1080" t="s">
        <v>92</v>
      </c>
      <c r="J7" s="1080" t="s">
        <v>1664</v>
      </c>
      <c r="N7" s="1100" t="s">
        <v>1665</v>
      </c>
      <c r="O7" s="1080" t="s">
        <v>1666</v>
      </c>
      <c r="U7" s="1083" t="s">
        <v>19</v>
      </c>
      <c r="V7" s="374" t="s">
        <v>92</v>
      </c>
      <c r="W7" s="1088"/>
      <c r="X7" s="1079" t="s">
        <v>198</v>
      </c>
      <c r="Y7" s="1079" t="s">
        <v>1628</v>
      </c>
      <c r="Z7" s="1095"/>
      <c r="AA7" s="1098"/>
      <c r="AH7" s="1080" t="s">
        <v>1667</v>
      </c>
      <c r="AK7" s="1080" t="s">
        <v>1668</v>
      </c>
      <c r="AM7" s="1080" t="s">
        <v>1669</v>
      </c>
      <c r="AP7" s="1091" t="s">
        <v>198</v>
      </c>
      <c r="AQ7" s="1092" t="s">
        <v>198</v>
      </c>
      <c r="AU7" s="1124" t="s">
        <v>1670</v>
      </c>
      <c r="AW7" s="1124" t="s">
        <v>1671</v>
      </c>
      <c r="AX7" s="1124" t="s">
        <v>1671</v>
      </c>
      <c r="AZ7" s="1071" t="s">
        <v>1672</v>
      </c>
      <c r="BB7" s="1124" t="s">
        <v>1673</v>
      </c>
      <c r="BC7" s="1124" t="s">
        <v>1637</v>
      </c>
      <c r="BE7" s="1124">
        <v>2005</v>
      </c>
      <c r="BF7" s="1124" t="s">
        <v>1674</v>
      </c>
      <c r="BH7" s="1072" t="s">
        <v>1311</v>
      </c>
      <c r="BJ7" s="1072" t="s">
        <v>1657</v>
      </c>
      <c r="BL7" s="1072" t="s">
        <v>1657</v>
      </c>
      <c r="BN7" s="1072" t="s">
        <v>1675</v>
      </c>
      <c r="BQ7" s="1285">
        <v>4213781</v>
      </c>
      <c r="BR7" s="1072" t="s">
        <v>1561</v>
      </c>
      <c r="BS7" s="1433"/>
      <c r="BT7" s="1285">
        <v>64236873</v>
      </c>
      <c r="BU7" s="1072" t="s">
        <v>257</v>
      </c>
      <c r="BV7" s="1074"/>
      <c r="BW7" s="1699">
        <v>4213769</v>
      </c>
      <c r="BX7" s="1697" t="s">
        <v>1676</v>
      </c>
      <c r="BZ7" s="1285">
        <v>64237511</v>
      </c>
      <c r="CA7" s="1072" t="s">
        <v>287</v>
      </c>
    </row>
    <row customHeight="1" ht="11.25">
      <c r="A8" s="1078" t="s">
        <v>1677</v>
      </c>
      <c r="B8" s="1079">
        <v>2006</v>
      </c>
      <c r="E8" s="1080" t="s">
        <v>1678</v>
      </c>
      <c r="F8" s="1097"/>
      <c r="H8" s="1081" t="s">
        <v>1679</v>
      </c>
      <c r="I8" s="1080" t="s">
        <v>93</v>
      </c>
      <c r="J8" s="1080" t="s">
        <v>1680</v>
      </c>
      <c r="N8" s="1167" t="s">
        <v>1681</v>
      </c>
      <c r="O8" s="1080" t="s">
        <v>1682</v>
      </c>
      <c r="V8" s="374" t="s">
        <v>93</v>
      </c>
      <c r="W8" s="1088"/>
      <c r="X8" s="1079" t="s">
        <v>204</v>
      </c>
      <c r="Y8" s="1079" t="s">
        <v>1628</v>
      </c>
      <c r="Z8" s="1095"/>
      <c r="AA8" s="1098"/>
      <c r="AK8" s="1080" t="s">
        <v>1683</v>
      </c>
      <c r="AP8" s="1091" t="s">
        <v>204</v>
      </c>
      <c r="AQ8" s="1092" t="s">
        <v>204</v>
      </c>
      <c r="AU8" s="1124" t="s">
        <v>1684</v>
      </c>
      <c r="AW8" s="1124" t="s">
        <v>1685</v>
      </c>
      <c r="AX8" s="1124" t="s">
        <v>1685</v>
      </c>
      <c r="AZ8" s="1124" t="s">
        <v>1686</v>
      </c>
      <c r="BB8" s="1124" t="s">
        <v>1687</v>
      </c>
      <c r="BC8" s="1124" t="s">
        <v>1637</v>
      </c>
      <c r="BE8" s="1124">
        <v>2006</v>
      </c>
      <c r="BF8" s="1124" t="s">
        <v>1688</v>
      </c>
      <c r="BH8" s="1072" t="s">
        <v>1689</v>
      </c>
      <c r="BJ8" s="1072" t="s">
        <v>1690</v>
      </c>
      <c r="BL8" s="1072" t="s">
        <v>1690</v>
      </c>
      <c r="BN8" s="1072" t="s">
        <v>1313</v>
      </c>
      <c r="BQ8" s="1285">
        <v>4213776</v>
      </c>
      <c r="BR8" s="1072" t="s">
        <v>186</v>
      </c>
      <c r="BS8" s="1433"/>
      <c r="BT8" s="1285">
        <v>64236874</v>
      </c>
      <c r="BU8" s="1299" t="s">
        <v>1691</v>
      </c>
      <c r="BV8" s="1074"/>
      <c r="BW8" s="1699">
        <v>4213770</v>
      </c>
      <c r="BX8" s="1700" t="s">
        <v>1692</v>
      </c>
      <c r="BZ8" s="1285">
        <v>64237512</v>
      </c>
      <c r="CA8" s="1072" t="s">
        <v>282</v>
      </c>
    </row>
    <row customHeight="1" ht="11.25">
      <c r="A9" s="1078" t="s">
        <v>1693</v>
      </c>
      <c r="B9" s="1079">
        <v>2007</v>
      </c>
      <c r="E9" s="1080" t="s">
        <v>1694</v>
      </c>
      <c r="F9" s="1097"/>
      <c r="G9" s="1071" t="s">
        <v>1695</v>
      </c>
      <c r="H9" s="1071" t="s">
        <v>1696</v>
      </c>
      <c r="I9" s="1080" t="s">
        <v>121</v>
      </c>
      <c r="O9" s="1080" t="s">
        <v>1697</v>
      </c>
      <c r="V9" s="374" t="s">
        <v>121</v>
      </c>
      <c r="W9" s="1088"/>
      <c r="X9" s="1079" t="s">
        <v>210</v>
      </c>
      <c r="Y9" s="1079" t="s">
        <v>1537</v>
      </c>
      <c r="Z9" s="1095">
        <v>1</v>
      </c>
      <c r="AA9" s="1098"/>
      <c r="AK9" s="1080" t="s">
        <v>1698</v>
      </c>
      <c r="AP9" s="1091" t="s">
        <v>1699</v>
      </c>
      <c r="AQ9" s="1092" t="s">
        <v>1699</v>
      </c>
      <c r="AW9" s="1124" t="s">
        <v>1700</v>
      </c>
      <c r="AX9" s="1124" t="s">
        <v>1700</v>
      </c>
      <c r="AZ9" s="1124" t="s">
        <v>67</v>
      </c>
      <c r="BB9" s="1124" t="s">
        <v>1701</v>
      </c>
      <c r="BC9" s="1124" t="s">
        <v>1637</v>
      </c>
      <c r="BE9" s="1124">
        <v>2007</v>
      </c>
      <c r="BF9" s="1124" t="s">
        <v>1702</v>
      </c>
      <c r="BH9" s="1072" t="s">
        <v>1703</v>
      </c>
      <c r="BJ9" s="1072" t="s">
        <v>1704</v>
      </c>
      <c r="BL9" s="1072" t="s">
        <v>1704</v>
      </c>
      <c r="BN9" s="1072" t="s">
        <v>1705</v>
      </c>
      <c r="BQ9" s="1285">
        <v>4213777</v>
      </c>
      <c r="BR9" s="1072" t="s">
        <v>192</v>
      </c>
      <c r="BS9" s="1433"/>
      <c r="BT9" s="1285">
        <v>64236875</v>
      </c>
      <c r="BU9" s="1072" t="s">
        <v>262</v>
      </c>
      <c r="BV9" s="1074"/>
      <c r="BW9" s="1694"/>
      <c r="BX9" s="1694"/>
    </row>
    <row customHeight="1" ht="11.25">
      <c r="A10" s="1078" t="s">
        <v>1706</v>
      </c>
      <c r="B10" s="1079">
        <v>2008</v>
      </c>
      <c r="E10" s="1080" t="s">
        <v>1707</v>
      </c>
      <c r="F10" s="1097"/>
      <c r="G10" s="1080" t="s">
        <v>1708</v>
      </c>
      <c r="H10" s="1080" t="s">
        <v>1709</v>
      </c>
      <c r="I10" s="1080" t="s">
        <v>168</v>
      </c>
      <c r="J10" s="1071" t="s">
        <v>1710</v>
      </c>
      <c r="K10" s="1071" t="s">
        <v>1711</v>
      </c>
      <c r="O10" s="1080" t="s">
        <v>1712</v>
      </c>
      <c r="V10" s="375" t="s">
        <v>168</v>
      </c>
      <c r="W10" s="1101"/>
      <c r="X10" s="1101" t="s">
        <v>1713</v>
      </c>
      <c r="Y10" s="1102" t="s">
        <v>1714</v>
      </c>
      <c r="Z10" s="1095"/>
      <c r="AP10" s="1091" t="s">
        <v>1713</v>
      </c>
      <c r="AQ10" s="1092" t="s">
        <v>1713</v>
      </c>
      <c r="AW10" s="1124" t="s">
        <v>1715</v>
      </c>
      <c r="AX10" s="1124" t="s">
        <v>1715</v>
      </c>
      <c r="AZ10" s="1124" t="s">
        <v>1429</v>
      </c>
      <c r="BB10" s="1124" t="s">
        <v>1716</v>
      </c>
      <c r="BC10" s="1124" t="s">
        <v>1637</v>
      </c>
      <c r="BE10" s="1124">
        <v>2008</v>
      </c>
      <c r="BF10" s="1124" t="s">
        <v>1717</v>
      </c>
      <c r="BH10" s="1072" t="s">
        <v>1306</v>
      </c>
      <c r="BJ10" s="1072" t="s">
        <v>1718</v>
      </c>
      <c r="BL10" s="1072" t="s">
        <v>1718</v>
      </c>
      <c r="BN10" s="1072" t="s">
        <v>1312</v>
      </c>
      <c r="BQ10" s="1285">
        <v>4213778</v>
      </c>
      <c r="BR10" s="1072" t="s">
        <v>198</v>
      </c>
      <c r="BS10" s="1433"/>
      <c r="BT10" s="1285">
        <v>64236876</v>
      </c>
      <c r="BU10" s="1072" t="s">
        <v>242</v>
      </c>
      <c r="BV10" s="1074"/>
      <c r="BW10" s="1694"/>
      <c r="BX10" s="1694"/>
    </row>
    <row customHeight="1" ht="11.25">
      <c r="A11" s="1078" t="s">
        <v>1719</v>
      </c>
      <c r="B11" s="1079">
        <v>2009</v>
      </c>
      <c r="E11" s="1080" t="s">
        <v>1720</v>
      </c>
      <c r="F11" s="1097"/>
      <c r="G11" s="1080" t="s">
        <v>1721</v>
      </c>
      <c r="H11" s="1080" t="s">
        <v>1722</v>
      </c>
      <c r="I11" s="1080" t="s">
        <v>169</v>
      </c>
      <c r="J11" s="1081" t="s">
        <v>1723</v>
      </c>
      <c r="K11" s="1103" t="s">
        <v>1724</v>
      </c>
      <c r="O11" s="1081" t="s">
        <v>1725</v>
      </c>
      <c r="V11" s="374" t="s">
        <v>169</v>
      </c>
      <c r="W11" s="279"/>
      <c r="X11" s="1088" t="s">
        <v>1699</v>
      </c>
      <c r="Y11" s="1079" t="s">
        <v>1726</v>
      </c>
      <c r="Z11" s="1095"/>
      <c r="AP11" s="1091" t="s">
        <v>210</v>
      </c>
      <c r="AQ11" s="1093" t="s">
        <v>210</v>
      </c>
      <c r="AW11" s="1124" t="s">
        <v>1727</v>
      </c>
      <c r="AX11" s="1124" t="s">
        <v>1727</v>
      </c>
      <c r="AZ11" s="1124" t="s">
        <v>1728</v>
      </c>
      <c r="BB11" s="1124" t="s">
        <v>1729</v>
      </c>
      <c r="BC11" s="1124" t="s">
        <v>1637</v>
      </c>
      <c r="BE11" s="1124">
        <v>2009</v>
      </c>
      <c r="BF11" s="1124" t="s">
        <v>1730</v>
      </c>
      <c r="BH11" s="1072" t="s">
        <v>1731</v>
      </c>
      <c r="BJ11" s="1072" t="s">
        <v>1703</v>
      </c>
      <c r="BL11" s="1072" t="s">
        <v>1703</v>
      </c>
      <c r="BN11" s="1072" t="s">
        <v>1732</v>
      </c>
      <c r="BQ11" s="1285">
        <v>4213780</v>
      </c>
      <c r="BR11" s="1072" t="s">
        <v>204</v>
      </c>
      <c r="BS11" s="1433"/>
      <c r="BW11" s="1694"/>
      <c r="BX11" s="1694"/>
    </row>
    <row customHeight="1" ht="11.25">
      <c r="A12" s="1078" t="s">
        <v>1733</v>
      </c>
      <c r="B12" s="1079">
        <v>2010</v>
      </c>
      <c r="E12" s="1080" t="s">
        <v>1734</v>
      </c>
      <c r="F12" s="1097"/>
      <c r="G12" s="1080" t="s">
        <v>1722</v>
      </c>
      <c r="I12" s="1080" t="s">
        <v>170</v>
      </c>
      <c r="J12" s="1081" t="s">
        <v>1735</v>
      </c>
      <c r="K12" s="1103" t="s">
        <v>1736</v>
      </c>
      <c r="O12" s="1081" t="s">
        <v>1531</v>
      </c>
      <c r="V12" s="374" t="s">
        <v>170</v>
      </c>
      <c r="W12" s="1093"/>
      <c r="X12" s="1088" t="s">
        <v>1737</v>
      </c>
      <c r="Y12" s="1079" t="s">
        <v>1537</v>
      </c>
      <c r="AP12" s="1091"/>
      <c r="AW12" s="1124" t="s">
        <v>169</v>
      </c>
      <c r="AX12" s="1124" t="s">
        <v>169</v>
      </c>
      <c r="AZ12" s="1124" t="s">
        <v>1738</v>
      </c>
      <c r="BB12" s="1124" t="s">
        <v>1739</v>
      </c>
      <c r="BC12" s="1124" t="s">
        <v>1637</v>
      </c>
      <c r="BE12" s="1124">
        <v>2010</v>
      </c>
      <c r="BF12" s="1124" t="s">
        <v>1740</v>
      </c>
      <c r="BH12" s="1072" t="s">
        <v>1741</v>
      </c>
      <c r="BJ12" s="1072" t="s">
        <v>1742</v>
      </c>
      <c r="BL12" s="1072" t="s">
        <v>1742</v>
      </c>
      <c r="BN12" s="1072" t="s">
        <v>1743</v>
      </c>
      <c r="BQ12" s="1285">
        <v>4213779</v>
      </c>
      <c r="BR12" s="1072" t="s">
        <v>1699</v>
      </c>
      <c r="BS12" s="1433"/>
      <c r="BT12" s="1074"/>
      <c r="BU12" s="1074"/>
      <c r="BV12" s="1074"/>
      <c r="BW12" s="1694"/>
      <c r="BX12" s="1694"/>
    </row>
    <row customHeight="1" ht="11.25">
      <c r="A13" s="1078" t="s">
        <v>1744</v>
      </c>
      <c r="B13" s="1079">
        <v>2011</v>
      </c>
      <c r="E13" s="1080" t="s">
        <v>1745</v>
      </c>
      <c r="F13" s="1097"/>
      <c r="I13" s="1080" t="s">
        <v>171</v>
      </c>
      <c r="K13" s="1103" t="s">
        <v>1698</v>
      </c>
      <c r="V13" s="374" t="s">
        <v>171</v>
      </c>
      <c r="W13" s="1093"/>
      <c r="X13" s="1093"/>
      <c r="Y13" s="1093"/>
      <c r="AW13" s="1124" t="s">
        <v>170</v>
      </c>
      <c r="AX13" s="1124" t="s">
        <v>170</v>
      </c>
      <c r="BB13" s="1124" t="s">
        <v>1746</v>
      </c>
      <c r="BC13" s="1124" t="s">
        <v>1747</v>
      </c>
      <c r="BE13" s="1124">
        <v>2011</v>
      </c>
      <c r="BF13" s="1124" t="s">
        <v>1304</v>
      </c>
      <c r="BH13" s="1072" t="s">
        <v>1748</v>
      </c>
      <c r="BJ13" s="1072" t="s">
        <v>1731</v>
      </c>
      <c r="BL13" s="1072" t="s">
        <v>1731</v>
      </c>
      <c r="BN13" s="1072" t="s">
        <v>1749</v>
      </c>
      <c r="BQ13" s="1285">
        <v>4213783</v>
      </c>
      <c r="BR13" s="1072" t="s">
        <v>1713</v>
      </c>
      <c r="BS13" s="1433"/>
      <c r="BT13" s="1074"/>
      <c r="BU13" s="1074"/>
      <c r="BV13" s="1074"/>
      <c r="BW13" s="1698"/>
      <c r="BX13" s="1694"/>
    </row>
    <row customHeight="1" ht="11.25">
      <c r="A14" s="1078" t="s">
        <v>1750</v>
      </c>
      <c r="B14" s="1079">
        <v>2012</v>
      </c>
      <c r="I14" s="1080" t="s">
        <v>172</v>
      </c>
      <c r="J14" s="1071" t="s">
        <v>1751</v>
      </c>
      <c r="N14" s="1071" t="s">
        <v>1752</v>
      </c>
      <c r="V14" s="1087">
        <v>13</v>
      </c>
      <c r="W14" s="1088"/>
      <c r="X14" s="1088" t="s">
        <v>1568</v>
      </c>
      <c r="Y14" s="1079" t="s">
        <v>1537</v>
      </c>
      <c r="AW14" s="1124" t="s">
        <v>171</v>
      </c>
      <c r="AX14" s="1124" t="s">
        <v>171</v>
      </c>
      <c r="AZ14" s="1071" t="s">
        <v>1753</v>
      </c>
      <c r="BB14" s="1124" t="s">
        <v>1754</v>
      </c>
      <c r="BC14" s="1124" t="s">
        <v>1747</v>
      </c>
      <c r="BE14" s="1124">
        <v>2012</v>
      </c>
      <c r="BH14" s="1072" t="s">
        <v>1675</v>
      </c>
      <c r="BJ14" s="1221" t="s">
        <v>1755</v>
      </c>
      <c r="BL14" s="1221" t="s">
        <v>1755</v>
      </c>
      <c r="BN14" s="1072" t="s">
        <v>1756</v>
      </c>
      <c r="BQ14" s="1285">
        <v>4213782</v>
      </c>
      <c r="BR14" s="1072" t="s">
        <v>210</v>
      </c>
      <c r="BS14" s="1433"/>
      <c r="BT14" s="1074"/>
      <c r="BU14" s="1074"/>
      <c r="BV14" s="1074"/>
      <c r="BW14" s="1698"/>
      <c r="BX14" s="1694"/>
    </row>
    <row customHeight="1" ht="19.5">
      <c r="A15" s="1078" t="s">
        <v>1757</v>
      </c>
      <c r="B15" s="1079">
        <v>2013</v>
      </c>
      <c r="E15" s="1702" t="s">
        <v>1758</v>
      </c>
      <c r="G15" s="1071" t="s">
        <v>1759</v>
      </c>
      <c r="H15" s="1071" t="s">
        <v>1760</v>
      </c>
      <c r="I15" s="1082" t="s">
        <v>173</v>
      </c>
      <c r="J15" s="1093" t="s">
        <v>611</v>
      </c>
      <c r="N15" s="1162" t="s">
        <v>1761</v>
      </c>
      <c r="X15" s="1091"/>
      <c r="AW15" s="1124" t="s">
        <v>172</v>
      </c>
      <c r="AX15" s="1124" t="s">
        <v>172</v>
      </c>
      <c r="AZ15" s="1124" t="s">
        <v>1686</v>
      </c>
      <c r="BB15" s="1124" t="s">
        <v>1762</v>
      </c>
      <c r="BC15" s="1124" t="s">
        <v>1747</v>
      </c>
      <c r="BE15" s="1124">
        <v>2013</v>
      </c>
      <c r="BH15" s="1072" t="s">
        <v>1313</v>
      </c>
      <c r="BJ15" s="1221" t="s">
        <v>1763</v>
      </c>
      <c r="BL15" s="1221" t="s">
        <v>1763</v>
      </c>
      <c r="BN15" s="1072" t="s">
        <v>1764</v>
      </c>
      <c r="BR15" s="1074"/>
      <c r="BS15" s="1435"/>
      <c r="BT15" s="1074"/>
      <c r="BU15" s="1074"/>
      <c r="BV15" s="1074"/>
      <c r="BW15" s="1698"/>
      <c r="BX15" s="1694"/>
    </row>
    <row customHeight="1" ht="21">
      <c r="A16" s="1874" t="s">
        <v>1765</v>
      </c>
      <c r="B16" s="1079">
        <v>2014</v>
      </c>
      <c r="E16" s="1703" t="s">
        <v>1766</v>
      </c>
      <c r="G16" s="1080" t="s">
        <v>1767</v>
      </c>
      <c r="H16" s="1080" t="s">
        <v>1768</v>
      </c>
      <c r="I16" s="1082" t="s">
        <v>1769</v>
      </c>
      <c r="J16" s="1093" t="s">
        <v>574</v>
      </c>
      <c r="N16" s="1162" t="s">
        <v>1770</v>
      </c>
      <c r="AW16" s="1124" t="s">
        <v>173</v>
      </c>
      <c r="AX16" s="1124" t="s">
        <v>173</v>
      </c>
      <c r="AZ16" s="1124" t="s">
        <v>67</v>
      </c>
      <c r="BB16" s="1124" t="s">
        <v>1771</v>
      </c>
      <c r="BC16" s="1124" t="s">
        <v>1747</v>
      </c>
      <c r="BE16" s="1124">
        <v>2014</v>
      </c>
      <c r="BH16" s="1072" t="s">
        <v>1705</v>
      </c>
      <c r="BJ16" s="1221" t="s">
        <v>1772</v>
      </c>
      <c r="BL16" s="1221" t="s">
        <v>1772</v>
      </c>
      <c r="BN16" s="1072" t="s">
        <v>1773</v>
      </c>
      <c r="BR16" s="1074"/>
      <c r="BS16" s="1435"/>
      <c r="BT16" s="1074"/>
      <c r="BU16" s="1074"/>
      <c r="BV16" s="1074"/>
      <c r="BW16" s="1698"/>
      <c r="BX16" s="1694"/>
    </row>
    <row customHeight="1" ht="21">
      <c r="A17" s="1078" t="s">
        <v>1774</v>
      </c>
      <c r="B17" s="1079">
        <v>2015</v>
      </c>
      <c r="G17" s="1080" t="s">
        <v>1722</v>
      </c>
      <c r="H17" s="1080" t="s">
        <v>1722</v>
      </c>
      <c r="I17" s="1080" t="s">
        <v>1775</v>
      </c>
      <c r="N17" s="1162" t="s">
        <v>1776</v>
      </c>
      <c r="X17" s="1091"/>
      <c r="AW17" s="1124" t="s">
        <v>1769</v>
      </c>
      <c r="AX17" s="1124" t="s">
        <v>1769</v>
      </c>
      <c r="AZ17" s="1124" t="s">
        <v>1777</v>
      </c>
      <c r="BB17" s="1124" t="s">
        <v>1778</v>
      </c>
      <c r="BC17" s="1124" t="s">
        <v>1637</v>
      </c>
      <c r="BE17" s="1124">
        <v>2015</v>
      </c>
      <c r="BH17" s="1072" t="s">
        <v>1312</v>
      </c>
      <c r="BJ17" s="1221" t="s">
        <v>1779</v>
      </c>
      <c r="BL17" s="1221" t="s">
        <v>1779</v>
      </c>
      <c r="BN17" s="1072" t="s">
        <v>1780</v>
      </c>
      <c r="BR17" s="1071" t="s">
        <v>1579</v>
      </c>
      <c r="BS17" s="1432"/>
      <c r="BU17" s="1071" t="s">
        <v>1781</v>
      </c>
      <c r="BV17" s="1074"/>
      <c r="BW17" s="1694"/>
      <c r="BX17" s="1696" t="s">
        <v>1782</v>
      </c>
      <c r="CA17" s="1071" t="s">
        <v>1783</v>
      </c>
      <c r="CD17" s="1071" t="s">
        <v>1784</v>
      </c>
    </row>
    <row customHeight="1" ht="21">
      <c r="A18" s="1078" t="s">
        <v>1785</v>
      </c>
      <c r="B18" s="1079">
        <v>2016</v>
      </c>
      <c r="E18" s="2009" t="s">
        <v>1786</v>
      </c>
      <c r="I18" s="1080" t="s">
        <v>1787</v>
      </c>
      <c r="N18" s="1162" t="s">
        <v>1788</v>
      </c>
      <c r="X18" s="1091"/>
      <c r="AW18" s="1124" t="s">
        <v>1775</v>
      </c>
      <c r="AX18" s="1124" t="s">
        <v>1775</v>
      </c>
      <c r="BB18" s="1124" t="s">
        <v>1789</v>
      </c>
      <c r="BC18" s="1124" t="s">
        <v>1637</v>
      </c>
      <c r="BE18" s="1124">
        <v>2016</v>
      </c>
      <c r="BH18" s="1072" t="s">
        <v>1732</v>
      </c>
      <c r="BJ18" s="1221" t="s">
        <v>1790</v>
      </c>
      <c r="BL18" s="1221" t="s">
        <v>1790</v>
      </c>
      <c r="BN18" s="1072" t="s">
        <v>1791</v>
      </c>
      <c r="BQ18" s="1436" t="s">
        <v>1609</v>
      </c>
      <c r="BR18" s="1163" t="s">
        <v>1610</v>
      </c>
      <c r="BS18" s="278"/>
      <c r="BT18" s="1436" t="s">
        <v>1792</v>
      </c>
      <c r="BU18" s="1163" t="s">
        <v>1793</v>
      </c>
      <c r="BV18" s="1074"/>
      <c r="BW18" s="1701" t="s">
        <v>1794</v>
      </c>
      <c r="BX18" s="1695" t="s">
        <v>1795</v>
      </c>
      <c r="BZ18" s="1436" t="s">
        <v>1796</v>
      </c>
      <c r="CA18" s="1163" t="s">
        <v>1797</v>
      </c>
      <c r="CC18" s="1436" t="s">
        <v>1798</v>
      </c>
      <c r="CD18" s="1163" t="s">
        <v>1799</v>
      </c>
    </row>
    <row customHeight="1" ht="21">
      <c r="A19" s="1874" t="s">
        <v>1800</v>
      </c>
      <c r="B19" s="1079">
        <v>2017</v>
      </c>
      <c r="E19" s="1078" t="s">
        <v>185</v>
      </c>
      <c r="I19" s="1080" t="s">
        <v>1801</v>
      </c>
      <c r="N19" s="1162" t="s">
        <v>1802</v>
      </c>
      <c r="X19" s="1091"/>
      <c r="AW19" s="1124" t="s">
        <v>1787</v>
      </c>
      <c r="AX19" s="1124" t="s">
        <v>1787</v>
      </c>
      <c r="AZ19" s="1071" t="s">
        <v>1803</v>
      </c>
      <c r="BB19" s="1124" t="s">
        <v>1804</v>
      </c>
      <c r="BC19" s="1124" t="s">
        <v>1637</v>
      </c>
      <c r="BE19" s="1124">
        <v>2017</v>
      </c>
      <c r="BH19" s="1072" t="s">
        <v>1805</v>
      </c>
      <c r="BJ19" s="1221" t="s">
        <v>1806</v>
      </c>
      <c r="BL19" s="1221" t="s">
        <v>1806</v>
      </c>
      <c r="BQ19" s="1285">
        <v>4190064</v>
      </c>
      <c r="BR19" s="1072" t="s">
        <v>1807</v>
      </c>
      <c r="BS19" s="1433"/>
      <c r="BT19" s="1285">
        <v>4189671</v>
      </c>
      <c r="BU19" s="1072" t="s">
        <v>1808</v>
      </c>
      <c r="BV19" s="1074"/>
      <c r="BW19" s="1699">
        <v>4189706</v>
      </c>
      <c r="BX19" s="1697" t="s">
        <v>1809</v>
      </c>
      <c r="BZ19" s="1285">
        <v>4189714</v>
      </c>
      <c r="CA19" s="1072" t="s">
        <v>1810</v>
      </c>
      <c r="CC19" s="1285">
        <v>4189708</v>
      </c>
      <c r="CD19" s="1072" t="s">
        <v>1811</v>
      </c>
    </row>
    <row customHeight="1" ht="21">
      <c r="A20" s="1078" t="s">
        <v>1812</v>
      </c>
      <c r="B20" s="1079">
        <v>2018</v>
      </c>
      <c r="E20" s="1078" t="s">
        <v>1568</v>
      </c>
      <c r="I20" s="1080" t="s">
        <v>1813</v>
      </c>
      <c r="N20" s="1162" t="s">
        <v>1814</v>
      </c>
      <c r="AW20" s="1124" t="s">
        <v>1801</v>
      </c>
      <c r="AX20" s="1124" t="s">
        <v>1801</v>
      </c>
      <c r="AZ20" s="1124" t="s">
        <v>1815</v>
      </c>
      <c r="BB20" s="1124" t="s">
        <v>1816</v>
      </c>
      <c r="BC20" s="1124" t="s">
        <v>1747</v>
      </c>
      <c r="BE20" s="1124">
        <v>2018</v>
      </c>
      <c r="BH20" s="1072" t="s">
        <v>1743</v>
      </c>
      <c r="BJ20" s="1072" t="s">
        <v>1675</v>
      </c>
      <c r="BL20" s="1072" t="s">
        <v>1675</v>
      </c>
      <c r="BQ20" s="1285">
        <v>4190065</v>
      </c>
      <c r="BR20" s="1072" t="s">
        <v>1817</v>
      </c>
      <c r="BS20" s="1433"/>
      <c r="BT20" s="1285">
        <v>4189672</v>
      </c>
      <c r="BU20" s="1072" t="s">
        <v>1818</v>
      </c>
      <c r="BV20" s="1074"/>
      <c r="BW20" s="1699">
        <v>4189705</v>
      </c>
      <c r="BX20" s="1697" t="s">
        <v>1819</v>
      </c>
      <c r="BZ20" s="1285">
        <v>4189713</v>
      </c>
      <c r="CA20" s="1072" t="s">
        <v>1819</v>
      </c>
      <c r="CC20" s="1285">
        <v>4189709</v>
      </c>
      <c r="CD20" s="1072" t="s">
        <v>1820</v>
      </c>
    </row>
    <row customHeight="1" ht="21">
      <c r="A21" s="1078" t="s">
        <v>1821</v>
      </c>
      <c r="B21" s="1079">
        <v>2019</v>
      </c>
      <c r="I21" s="1080" t="s">
        <v>1822</v>
      </c>
      <c r="N21" s="1162" t="s">
        <v>1823</v>
      </c>
      <c r="AW21" s="1124" t="s">
        <v>1813</v>
      </c>
      <c r="AX21" s="1124" t="s">
        <v>1813</v>
      </c>
      <c r="AZ21" s="1124" t="s">
        <v>1824</v>
      </c>
      <c r="BB21" s="1124" t="s">
        <v>1825</v>
      </c>
      <c r="BC21" s="1124" t="s">
        <v>1637</v>
      </c>
      <c r="BE21" s="1124">
        <v>2019</v>
      </c>
      <c r="BH21" s="1072" t="s">
        <v>1749</v>
      </c>
      <c r="BJ21" s="1072" t="s">
        <v>1313</v>
      </c>
      <c r="BL21" s="1072" t="s">
        <v>1313</v>
      </c>
      <c r="BQ21" s="1285">
        <v>4190066</v>
      </c>
      <c r="BR21" s="1072" t="s">
        <v>1826</v>
      </c>
      <c r="BS21" s="1433"/>
      <c r="BT21" s="1285">
        <v>4189673</v>
      </c>
      <c r="BU21" s="1072" t="s">
        <v>1827</v>
      </c>
      <c r="BV21" s="1074"/>
      <c r="BW21" s="1699">
        <v>4189707</v>
      </c>
      <c r="BX21" s="1697" t="s">
        <v>1828</v>
      </c>
      <c r="BZ21" s="1285">
        <v>4189712</v>
      </c>
      <c r="CA21" s="1072" t="s">
        <v>1829</v>
      </c>
      <c r="CC21" s="1285">
        <v>4189710</v>
      </c>
      <c r="CD21" s="1072" t="s">
        <v>1830</v>
      </c>
    </row>
    <row customHeight="1" ht="21">
      <c r="A22" s="1078" t="s">
        <v>1831</v>
      </c>
      <c r="B22" s="1079">
        <v>2020</v>
      </c>
      <c r="N22" s="1162" t="s">
        <v>1832</v>
      </c>
      <c r="AW22" s="1124" t="s">
        <v>1822</v>
      </c>
      <c r="AX22" s="1124" t="s">
        <v>1822</v>
      </c>
      <c r="AZ22" s="1124" t="s">
        <v>1833</v>
      </c>
      <c r="BB22" s="1124" t="s">
        <v>1834</v>
      </c>
      <c r="BC22" s="1124" t="s">
        <v>1637</v>
      </c>
      <c r="BE22" s="1124">
        <v>2020</v>
      </c>
      <c r="BH22" s="1072" t="s">
        <v>1756</v>
      </c>
      <c r="BJ22" s="1072" t="s">
        <v>1705</v>
      </c>
      <c r="BL22" s="1072" t="s">
        <v>1705</v>
      </c>
      <c r="BQ22" s="1285">
        <v>4190067</v>
      </c>
      <c r="BR22" s="1072" t="s">
        <v>1835</v>
      </c>
      <c r="BS22" s="1433"/>
      <c r="BT22" s="1285">
        <v>4189674</v>
      </c>
      <c r="BU22" s="1072" t="s">
        <v>1836</v>
      </c>
      <c r="BV22" s="1074"/>
      <c r="BW22" s="1074"/>
      <c r="CC22" s="1285">
        <v>4189711</v>
      </c>
      <c r="CD22" s="1072" t="s">
        <v>311</v>
      </c>
    </row>
    <row customHeight="1" ht="21">
      <c r="A23" s="1078" t="s">
        <v>1837</v>
      </c>
      <c r="B23" s="1079">
        <v>2021</v>
      </c>
      <c r="AW23" s="1124" t="s">
        <v>1838</v>
      </c>
      <c r="AX23" s="1124" t="s">
        <v>1838</v>
      </c>
      <c r="AZ23" s="1124" t="s">
        <v>1839</v>
      </c>
      <c r="BB23" s="1124" t="s">
        <v>1840</v>
      </c>
      <c r="BC23" s="1124" t="s">
        <v>588</v>
      </c>
      <c r="BE23" s="1124">
        <v>2021</v>
      </c>
      <c r="BH23" s="1072" t="s">
        <v>1764</v>
      </c>
      <c r="BJ23" s="1072" t="s">
        <v>1312</v>
      </c>
      <c r="BL23" s="1072" t="s">
        <v>1312</v>
      </c>
      <c r="BQ23" s="1285">
        <v>4190068</v>
      </c>
      <c r="BR23" s="1072" t="s">
        <v>1841</v>
      </c>
      <c r="BS23" s="1433"/>
      <c r="BT23" s="1285">
        <v>4189675</v>
      </c>
      <c r="BU23" s="1072" t="s">
        <v>1842</v>
      </c>
      <c r="BV23" s="1074"/>
      <c r="BW23" s="1074"/>
      <c r="CC23" s="1285">
        <v>5110778</v>
      </c>
      <c r="CD23" s="1072" t="s">
        <v>1843</v>
      </c>
    </row>
    <row customHeight="1" ht="21">
      <c r="A24" s="1078" t="s">
        <v>1844</v>
      </c>
      <c r="B24" s="1079">
        <v>2022</v>
      </c>
      <c r="AW24" s="1124" t="s">
        <v>1845</v>
      </c>
      <c r="AX24" s="1124" t="s">
        <v>1845</v>
      </c>
      <c r="AZ24" s="1124" t="s">
        <v>1846</v>
      </c>
      <c r="BB24" s="1124" t="s">
        <v>1847</v>
      </c>
      <c r="BC24" s="1124" t="s">
        <v>1848</v>
      </c>
      <c r="BE24" s="1124">
        <v>2022</v>
      </c>
      <c r="BH24" s="1072" t="s">
        <v>1773</v>
      </c>
      <c r="BJ24" s="1072" t="s">
        <v>1732</v>
      </c>
      <c r="BL24" s="1072" t="s">
        <v>1732</v>
      </c>
      <c r="BQ24" s="1285">
        <v>4190069</v>
      </c>
      <c r="BR24" s="1072" t="s">
        <v>1849</v>
      </c>
      <c r="BS24" s="1433"/>
      <c r="BT24" s="1285">
        <v>4189676</v>
      </c>
      <c r="BU24" s="1072" t="s">
        <v>1850</v>
      </c>
      <c r="BV24" s="1074"/>
      <c r="BW24" s="1074"/>
      <c r="CC24" s="1285">
        <v>25575374</v>
      </c>
      <c r="CD24" s="1072" t="s">
        <v>1851</v>
      </c>
    </row>
    <row customHeight="1" ht="11.25">
      <c r="A25" s="1078" t="s">
        <v>1852</v>
      </c>
      <c r="B25" s="1079">
        <v>2023</v>
      </c>
      <c r="AW25" s="1124" t="s">
        <v>1853</v>
      </c>
      <c r="AX25" s="1124" t="s">
        <v>1853</v>
      </c>
      <c r="AZ25" s="1124" t="s">
        <v>1854</v>
      </c>
      <c r="BB25" s="1124" t="s">
        <v>1855</v>
      </c>
      <c r="BC25" s="1124" t="s">
        <v>1848</v>
      </c>
      <c r="BE25" s="1124">
        <v>2023</v>
      </c>
      <c r="BH25" s="1072" t="s">
        <v>1780</v>
      </c>
      <c r="BJ25" s="1072" t="s">
        <v>1805</v>
      </c>
      <c r="BL25" s="1072" t="s">
        <v>1805</v>
      </c>
      <c r="BQ25" s="1285">
        <v>4190070</v>
      </c>
      <c r="BR25" s="1072" t="s">
        <v>1856</v>
      </c>
      <c r="BS25" s="1433"/>
      <c r="BT25" s="1285">
        <v>4189677</v>
      </c>
      <c r="BU25" s="1072" t="s">
        <v>1857</v>
      </c>
      <c r="BV25" s="1074"/>
      <c r="BW25" s="1074"/>
    </row>
    <row customHeight="1" ht="11.25">
      <c r="A26" s="1078" t="s">
        <v>1858</v>
      </c>
      <c r="B26" s="1079">
        <v>2024</v>
      </c>
      <c r="J26" s="1735" t="s">
        <v>1859</v>
      </c>
      <c r="AX26" s="1124" t="s">
        <v>1860</v>
      </c>
      <c r="AZ26" s="1124" t="s">
        <v>1725</v>
      </c>
      <c r="BB26" s="1124" t="s">
        <v>1861</v>
      </c>
      <c r="BC26" s="1124" t="s">
        <v>1848</v>
      </c>
      <c r="BE26" s="1124">
        <v>2024</v>
      </c>
      <c r="BH26" s="1072" t="s">
        <v>1791</v>
      </c>
      <c r="BJ26" s="1072" t="s">
        <v>1743</v>
      </c>
      <c r="BL26" s="1072" t="s">
        <v>1743</v>
      </c>
      <c r="BQ26" s="1285">
        <v>4190071</v>
      </c>
      <c r="BR26" s="1072" t="s">
        <v>1862</v>
      </c>
      <c r="BS26" s="1433"/>
      <c r="BV26" s="1074"/>
      <c r="BW26" s="1074"/>
    </row>
    <row customHeight="1" ht="11.25">
      <c r="A27" s="1078" t="s">
        <v>1863</v>
      </c>
      <c r="B27" s="1079">
        <v>2025</v>
      </c>
      <c r="J27" s="180" t="s">
        <v>104</v>
      </c>
      <c r="AX27" s="1124" t="s">
        <v>1864</v>
      </c>
      <c r="BB27" s="1124" t="s">
        <v>1865</v>
      </c>
      <c r="BC27" s="1124" t="s">
        <v>1848</v>
      </c>
      <c r="BE27" s="1124">
        <v>2025</v>
      </c>
      <c r="BH27" s="1074" t="s">
        <v>22</v>
      </c>
      <c r="BJ27" s="1072" t="s">
        <v>1749</v>
      </c>
      <c r="BL27" s="1072" t="s">
        <v>1749</v>
      </c>
      <c r="BN27" s="1074" t="s">
        <v>22</v>
      </c>
      <c r="BQ27" s="1285">
        <v>4190072</v>
      </c>
      <c r="BR27" s="1072" t="s">
        <v>1866</v>
      </c>
      <c r="BS27" s="1433"/>
      <c r="BV27" s="1074"/>
      <c r="BW27" s="1074"/>
    </row>
    <row customHeight="1" ht="11.25">
      <c r="A28" s="1078" t="s">
        <v>1867</v>
      </c>
      <c r="D28" s="1105"/>
      <c r="E28" s="1106"/>
      <c r="F28" s="1106"/>
      <c r="H28" s="1107" t="s">
        <v>1868</v>
      </c>
      <c r="AX28" s="1124" t="s">
        <v>1869</v>
      </c>
      <c r="AZ28" s="1071" t="s">
        <v>1870</v>
      </c>
      <c r="BB28" s="1124" t="s">
        <v>1871</v>
      </c>
      <c r="BC28" s="1124" t="s">
        <v>1872</v>
      </c>
      <c r="BE28" s="1124">
        <v>2026</v>
      </c>
      <c r="BH28" s="1074" t="s">
        <v>22</v>
      </c>
      <c r="BJ28" s="1072" t="s">
        <v>1756</v>
      </c>
      <c r="BL28" s="1072" t="s">
        <v>1756</v>
      </c>
      <c r="BN28" s="1074" t="s">
        <v>22</v>
      </c>
      <c r="BQ28" s="1285">
        <v>4190073</v>
      </c>
      <c r="BR28" s="1072" t="s">
        <v>1873</v>
      </c>
      <c r="BS28" s="1433"/>
      <c r="BV28" s="1074"/>
      <c r="BW28" s="1074"/>
    </row>
    <row customHeight="1" ht="11.25">
      <c r="A29" s="1078" t="s">
        <v>1874</v>
      </c>
      <c r="D29" s="1108" t="s">
        <v>1875</v>
      </c>
      <c r="E29" s="1109" t="str">
        <f>IF(TEMPLATE_GROUP="","",INDEX(StartDateList,MATCH(TEMPLATE_GROUP,CodeTemplateList,0),1))</f>
        <v>01.01.2023</v>
      </c>
      <c r="F29" s="1109" t="str">
        <f>IF(TEMPLATE_GROUP="","",INDEX(EndDateList,MATCH(TEMPLATE_GROUP,CodeTemplateList,0),1))</f>
        <v>31.12.2023</v>
      </c>
      <c r="H29" s="1110" t="s">
        <v>1876</v>
      </c>
      <c r="AX29" s="1124" t="s">
        <v>1877</v>
      </c>
      <c r="AZ29" s="1124" t="s">
        <v>1532</v>
      </c>
      <c r="BB29" s="1124" t="s">
        <v>1725</v>
      </c>
      <c r="BC29" s="1095"/>
      <c r="BE29" s="1124">
        <v>2027</v>
      </c>
      <c r="BJ29" s="1072" t="s">
        <v>1764</v>
      </c>
      <c r="BL29" s="1072" t="s">
        <v>1764</v>
      </c>
    </row>
    <row customHeight="1" ht="11.25">
      <c r="A30" s="1078" t="s">
        <v>1878</v>
      </c>
      <c r="D30" s="1111"/>
      <c r="E30" s="1112"/>
      <c r="F30" s="1112"/>
      <c r="AX30" s="1124" t="s">
        <v>1879</v>
      </c>
      <c r="AZ30" s="1124" t="s">
        <v>1557</v>
      </c>
      <c r="BE30" s="1124">
        <v>2028</v>
      </c>
      <c r="BJ30" s="1072" t="s">
        <v>1880</v>
      </c>
      <c r="BL30" s="1072" t="s">
        <v>1880</v>
      </c>
    </row>
    <row customHeight="1" ht="12.75">
      <c r="A31" s="1078" t="s">
        <v>1881</v>
      </c>
      <c r="D31" s="1105"/>
      <c r="E31" s="1106"/>
      <c r="F31" s="1106"/>
      <c r="H31" s="1113"/>
      <c r="AX31" s="1124" t="s">
        <v>1882</v>
      </c>
      <c r="AZ31" s="1124" t="s">
        <v>1883</v>
      </c>
      <c r="BE31" s="1124">
        <v>2029</v>
      </c>
      <c r="BJ31" s="1072" t="s">
        <v>1884</v>
      </c>
      <c r="BL31" s="1072" t="s">
        <v>1884</v>
      </c>
    </row>
    <row customHeight="1" ht="11.25">
      <c r="A32" s="1078" t="s">
        <v>1885</v>
      </c>
      <c r="D32" s="1108" t="s">
        <v>1886</v>
      </c>
      <c r="E32" s="1109" t="str">
        <f>IF(TEMPLATE_GROUP="","",INDEX(StartDateList,MATCH(TEMPLATE_GROUP,CodeTemplateList,0),1))</f>
        <v>01.01.2023</v>
      </c>
      <c r="F32" s="1109" t="str">
        <f>IF(TEMPLATE_GROUP="","",INDEX(EndDateList,MATCH(TEMPLATE_GROUP,CodeTemplateList,0),1))</f>
        <v>31.12.2023</v>
      </c>
      <c r="H32" s="1114" t="s">
        <v>1887</v>
      </c>
      <c r="O32" s="1078" t="s">
        <v>1530</v>
      </c>
      <c r="AX32" s="1124" t="s">
        <v>1888</v>
      </c>
      <c r="AZ32" s="1124" t="s">
        <v>1625</v>
      </c>
      <c r="BE32" s="1124">
        <v>2030</v>
      </c>
      <c r="BJ32" s="1072" t="s">
        <v>1773</v>
      </c>
      <c r="BL32" s="1072" t="s">
        <v>1773</v>
      </c>
    </row>
    <row customHeight="1" ht="11.25">
      <c r="A33" s="1078" t="s">
        <v>1889</v>
      </c>
      <c r="O33" s="1078" t="s">
        <v>1554</v>
      </c>
      <c r="AX33" s="1124" t="s">
        <v>1890</v>
      </c>
      <c r="AZ33" s="1124" t="s">
        <v>1531</v>
      </c>
      <c r="BE33" s="1124">
        <v>2031</v>
      </c>
      <c r="BJ33" s="1072" t="s">
        <v>1780</v>
      </c>
      <c r="BL33" s="1072" t="s">
        <v>1780</v>
      </c>
    </row>
    <row customHeight="1" ht="11.25">
      <c r="A34" s="1078" t="s">
        <v>1891</v>
      </c>
      <c r="O34" s="1078" t="s">
        <v>1590</v>
      </c>
      <c r="AX34" s="1124" t="s">
        <v>1892</v>
      </c>
      <c r="BE34" s="1124">
        <v>2032</v>
      </c>
      <c r="BJ34" s="1072" t="s">
        <v>1791</v>
      </c>
      <c r="BL34" s="1072" t="s">
        <v>1791</v>
      </c>
    </row>
    <row customHeight="1" ht="11.25">
      <c r="A35" s="1078" t="s">
        <v>1893</v>
      </c>
      <c r="O35" s="1078" t="s">
        <v>1623</v>
      </c>
      <c r="AX35" s="1124" t="s">
        <v>1894</v>
      </c>
      <c r="AZ35" s="1071" t="s">
        <v>1895</v>
      </c>
      <c r="BE35" s="1124">
        <v>2033</v>
      </c>
      <c r="BL35" s="1072" t="s">
        <v>1896</v>
      </c>
    </row>
    <row customHeight="1" ht="11.25">
      <c r="A36" s="1874" t="s">
        <v>1897</v>
      </c>
      <c r="D36" s="1115" t="s">
        <v>1898</v>
      </c>
      <c r="E36" s="1116" t="s">
        <v>1068</v>
      </c>
      <c r="F36" s="1117" t="str">
        <f>INDEX(E37:E41,MATCH(TEMPLATE_SPHERE,F37:F41,0))</f>
        <v>теплоснабжения</v>
      </c>
      <c r="G36" s="1117" t="str">
        <f>INDEX(G37:G41,MATCH(TEMPLATE_SPHERE,F37:F41,0))</f>
        <v>теплоснабжение</v>
      </c>
      <c r="O36" s="1078" t="s">
        <v>1647</v>
      </c>
      <c r="AX36" s="1124" t="s">
        <v>1899</v>
      </c>
      <c r="AZ36" s="1124" t="s">
        <v>1531</v>
      </c>
      <c r="BE36" s="1124">
        <v>2034</v>
      </c>
      <c r="BL36" s="1072" t="s">
        <v>1900</v>
      </c>
    </row>
    <row customHeight="1" ht="11.25">
      <c r="A37" s="1078" t="s">
        <v>1901</v>
      </c>
      <c r="E37" s="411" t="s">
        <v>1902</v>
      </c>
      <c r="F37" s="1118" t="s">
        <v>1068</v>
      </c>
      <c r="G37" s="411" t="s">
        <v>1903</v>
      </c>
      <c r="O37" s="1078" t="s">
        <v>1666</v>
      </c>
      <c r="AX37" s="1124" t="s">
        <v>1904</v>
      </c>
      <c r="AZ37" s="1124" t="s">
        <v>1556</v>
      </c>
      <c r="BE37" s="1124">
        <v>2035</v>
      </c>
    </row>
    <row customHeight="1" ht="11.25">
      <c r="A38" s="1078" t="s">
        <v>1905</v>
      </c>
      <c r="E38" s="411" t="s">
        <v>1906</v>
      </c>
      <c r="F38" s="1119" t="s">
        <v>1118</v>
      </c>
      <c r="G38" s="411" t="s">
        <v>1907</v>
      </c>
      <c r="O38" s="1078" t="s">
        <v>1682</v>
      </c>
      <c r="AX38" s="1124" t="s">
        <v>1908</v>
      </c>
      <c r="AZ38" s="1124" t="s">
        <v>1591</v>
      </c>
      <c r="BE38" s="1124">
        <v>2036</v>
      </c>
      <c r="BH38" s="1071" t="s">
        <v>1909</v>
      </c>
      <c r="BJ38" s="1071" t="s">
        <v>1910</v>
      </c>
      <c r="BL38" s="1071" t="s">
        <v>1911</v>
      </c>
      <c r="BN38" s="1071" t="s">
        <v>1912</v>
      </c>
    </row>
    <row customHeight="1" ht="11.25">
      <c r="A39" s="1078" t="s">
        <v>1913</v>
      </c>
      <c r="E39" s="411" t="s">
        <v>1914</v>
      </c>
      <c r="F39" s="1119" t="s">
        <v>1171</v>
      </c>
      <c r="G39" s="411" t="s">
        <v>1915</v>
      </c>
      <c r="O39" s="1078" t="s">
        <v>1697</v>
      </c>
      <c r="AX39" s="1124" t="s">
        <v>1916</v>
      </c>
      <c r="AZ39" s="1124" t="s">
        <v>1624</v>
      </c>
      <c r="BE39" s="1124">
        <v>2037</v>
      </c>
      <c r="BH39" s="1072" t="s">
        <v>1917</v>
      </c>
      <c r="BJ39" s="1221" t="s">
        <v>1917</v>
      </c>
      <c r="BL39" s="1221" t="s">
        <v>1917</v>
      </c>
      <c r="BN39" s="1072" t="s">
        <v>1918</v>
      </c>
    </row>
    <row customHeight="1" ht="11.25">
      <c r="A40" s="1078" t="s">
        <v>1919</v>
      </c>
      <c r="E40" s="411" t="s">
        <v>1920</v>
      </c>
      <c r="F40" s="1119" t="s">
        <v>1158</v>
      </c>
      <c r="G40" s="411" t="s">
        <v>1921</v>
      </c>
      <c r="O40" s="1078" t="s">
        <v>1712</v>
      </c>
      <c r="AX40" s="1124" t="s">
        <v>1922</v>
      </c>
      <c r="BE40" s="1124">
        <v>2038</v>
      </c>
      <c r="BH40" s="1072" t="s">
        <v>1923</v>
      </c>
      <c r="BJ40" s="1221" t="s">
        <v>1340</v>
      </c>
      <c r="BL40" s="1221" t="s">
        <v>1340</v>
      </c>
      <c r="BN40" s="1072" t="s">
        <v>1374</v>
      </c>
    </row>
    <row customHeight="1" ht="11.25">
      <c r="A41" s="1078" t="s">
        <v>16</v>
      </c>
      <c r="E41" s="411" t="s">
        <v>1924</v>
      </c>
      <c r="F41" s="1119" t="s">
        <v>1925</v>
      </c>
      <c r="G41" s="411" t="s">
        <v>1924</v>
      </c>
      <c r="O41" s="1078" t="s">
        <v>1725</v>
      </c>
      <c r="AX41" s="1124" t="s">
        <v>1926</v>
      </c>
      <c r="AZ41" s="1071" t="s">
        <v>1927</v>
      </c>
      <c r="BE41" s="1124">
        <v>2039</v>
      </c>
      <c r="BH41" s="1072" t="s">
        <v>1928</v>
      </c>
      <c r="BJ41" s="1221" t="s">
        <v>1336</v>
      </c>
      <c r="BL41" s="1221" t="s">
        <v>1336</v>
      </c>
      <c r="BN41" s="1072" t="s">
        <v>1361</v>
      </c>
    </row>
    <row customHeight="1" ht="11.25">
      <c r="A42" s="1078" t="s">
        <v>1929</v>
      </c>
      <c r="AX42" s="1124" t="s">
        <v>1930</v>
      </c>
      <c r="AZ42" s="1124" t="s">
        <v>1530</v>
      </c>
      <c r="BE42" s="1124">
        <v>2040</v>
      </c>
      <c r="BH42" s="1072" t="s">
        <v>1358</v>
      </c>
      <c r="BJ42" s="1221" t="s">
        <v>1338</v>
      </c>
      <c r="BL42" s="1221" t="s">
        <v>1338</v>
      </c>
      <c r="BN42" s="1072" t="s">
        <v>1931</v>
      </c>
    </row>
    <row customHeight="1" ht="11.25">
      <c r="A43" s="1078" t="s">
        <v>1932</v>
      </c>
      <c r="AX43" s="1124" t="s">
        <v>1933</v>
      </c>
      <c r="AZ43" s="1124" t="s">
        <v>1554</v>
      </c>
      <c r="BE43" s="1124">
        <v>2041</v>
      </c>
      <c r="BH43" s="1072" t="s">
        <v>1934</v>
      </c>
      <c r="BJ43" s="1221" t="s">
        <v>1928</v>
      </c>
      <c r="BL43" s="1221" t="s">
        <v>1928</v>
      </c>
      <c r="BN43" s="1072" t="s">
        <v>1935</v>
      </c>
    </row>
    <row customHeight="1" ht="11.25">
      <c r="A44" s="1078" t="s">
        <v>1936</v>
      </c>
      <c r="G44" s="1098">
        <f>YEAR(TODAY())</f>
        <v>2024</v>
      </c>
      <c r="I44" s="803" t="s">
        <v>1937</v>
      </c>
      <c r="J44" s="1093" t="s">
        <v>1938</v>
      </c>
      <c r="K44" s="1093" t="s">
        <v>1939</v>
      </c>
      <c r="AX44" s="1124" t="s">
        <v>1940</v>
      </c>
      <c r="AZ44" s="1124" t="s">
        <v>1590</v>
      </c>
      <c r="BE44" s="1124">
        <v>2042</v>
      </c>
      <c r="BH44" s="1072" t="s">
        <v>1941</v>
      </c>
      <c r="BJ44" s="1221" t="s">
        <v>1358</v>
      </c>
      <c r="BL44" s="1221" t="s">
        <v>1358</v>
      </c>
      <c r="BN44" s="1072" t="s">
        <v>1942</v>
      </c>
    </row>
    <row customHeight="1" ht="11.25">
      <c r="A45" s="1078" t="s">
        <v>1943</v>
      </c>
      <c r="D45" s="1115" t="s">
        <v>1944</v>
      </c>
      <c r="E45" s="1116" t="s">
        <v>1945</v>
      </c>
      <c r="F45" s="801" t="s">
        <v>1946</v>
      </c>
      <c r="G45" s="800" t="s">
        <v>1947</v>
      </c>
      <c r="H45" s="803" t="s">
        <v>1948</v>
      </c>
      <c r="I45" s="1745">
        <f>INDEX(PeriodIsEmptyList,MATCH(TEMPLATE_GROUP,CodeTemplateList,0),1)</f>
        <v>0</v>
      </c>
      <c r="J45" s="174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4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24" t="s">
        <v>106</v>
      </c>
      <c r="AZ45" s="1124" t="s">
        <v>1623</v>
      </c>
      <c r="BE45" s="1124">
        <v>2043</v>
      </c>
      <c r="BH45" s="1072" t="s">
        <v>1949</v>
      </c>
      <c r="BJ45" s="1221" t="s">
        <v>1352</v>
      </c>
      <c r="BL45" s="1221" t="s">
        <v>1352</v>
      </c>
      <c r="BN45" s="1072" t="s">
        <v>1950</v>
      </c>
    </row>
    <row customHeight="1" ht="11.25">
      <c r="A46" s="1078" t="s">
        <v>1951</v>
      </c>
      <c r="E46" s="411" t="s">
        <v>27</v>
      </c>
      <c r="F46" s="1118" t="s">
        <v>1952</v>
      </c>
      <c r="G46" s="1120" t="str">
        <f>_xlfn.IFERROR(IF(TITLE_DATE_FIL="","01.01."&amp;CURRENT_YEAR,"01.01."&amp;YEAR(TITLE_DATE_FIL)),"01.01."&amp;CURRENT_YEAR)</f>
        <v>01.01.2024</v>
      </c>
      <c r="H46" s="1120" t="str">
        <f>_xlfn.IFERROR(IF(TITLE_DATE_FIL="","31.12."&amp;CURRENT_YEAR,"31.12."&amp;YEAR(TITLE_DATE_FIL)),"31.12."&amp;CURRENT_YEAR)</f>
        <v>31.12.2024</v>
      </c>
      <c r="I46" s="1746">
        <f>IF(TITLE_DATE_FIL="",TRUE,FALSE)</f>
        <v>1</v>
      </c>
      <c r="J46" s="1749" t="str">
        <f>"Общая информация о регулируемой организации ("&amp;TEMPLATE_SPHERE_RUS&amp;")"</f>
        <v>Общая информация о регулируемой организации (теплоснабжения)</v>
      </c>
      <c r="K46" s="1750"/>
      <c r="AX46" s="1124" t="s">
        <v>1953</v>
      </c>
      <c r="AZ46" s="1124" t="s">
        <v>1647</v>
      </c>
      <c r="BE46" s="1124">
        <v>2044</v>
      </c>
      <c r="BH46" s="1072" t="s">
        <v>1361</v>
      </c>
      <c r="BJ46" s="1221" t="s">
        <v>1342</v>
      </c>
      <c r="BL46" s="1221" t="s">
        <v>1342</v>
      </c>
      <c r="BN46" s="1072" t="s">
        <v>1954</v>
      </c>
    </row>
    <row customHeight="1" ht="11.25">
      <c r="A47" s="1078" t="s">
        <v>1955</v>
      </c>
      <c r="E47" s="411" t="s">
        <v>33</v>
      </c>
      <c r="F47" s="1119" t="s">
        <v>1956</v>
      </c>
      <c r="G47" s="1120" t="str">
        <f>_xlfn.IFERROR(IF(f_year="","01.01."&amp;CURRENT_YEAR,IF(LEN(f_quart)=0,"01.01."&amp;f_year,IF(f_quart="I квартал","01.01."&amp;f_year,IF(f_quart="II квартал","01.04."&amp;f_year,(IF(f_quart="III квартал","01.07."&amp;f_year,"01.10."&amp;f_year)))))),"01.01."&amp;CURRENT_YEAR)</f>
        <v>01.01.2023</v>
      </c>
      <c r="H47" s="1120" t="str">
        <f>_xlfn.IFERROR(IF(f_year="","31.12."&amp;CURRENT_YEAR,IF(LEN(f_quart)=0,"31.12."&amp;f_year,IF(f_quart="I квартал","31.03."&amp;f_year,IF(f_quart="II квартал","30.06."&amp;f_year,(IF(f_quart="III квартал","30.09."&amp;f_year,"31.12."&amp;f_year)))))),"31.12."&amp;CURRENT_YEAR)</f>
        <v>31.12.2023</v>
      </c>
      <c r="I47" s="1747">
        <f>IF(OR(f_year="",f_quart=""),TRUE,FALSE)</f>
        <v>1</v>
      </c>
      <c r="J47" s="174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0"/>
      <c r="AX47" s="1124" t="s">
        <v>1957</v>
      </c>
      <c r="AZ47" s="1124" t="s">
        <v>1666</v>
      </c>
      <c r="BE47" s="1124">
        <v>2045</v>
      </c>
      <c r="BH47" s="1072" t="s">
        <v>1931</v>
      </c>
      <c r="BJ47" s="1221" t="s">
        <v>1344</v>
      </c>
      <c r="BL47" s="1221" t="s">
        <v>1344</v>
      </c>
      <c r="BN47" s="1072" t="s">
        <v>1958</v>
      </c>
    </row>
    <row customHeight="1" ht="11.25">
      <c r="A48" s="1078" t="s">
        <v>1959</v>
      </c>
      <c r="E48" s="411" t="s">
        <v>1960</v>
      </c>
      <c r="F48" s="1119" t="s">
        <v>1945</v>
      </c>
      <c r="G48" s="1120" t="str">
        <f>_xlfn.IFERROR(IF(f_year="","01.01."&amp;CURRENT_YEAR,"01.01."&amp;f_year),"01.01."&amp;CURRENT_YEAR)</f>
        <v>01.01.2023</v>
      </c>
      <c r="H48" s="1120" t="str">
        <f>_xlfn.IFERROR(IF(f_year="","31.12."&amp;CURRENT_YEAR,"31.12."&amp;f_year),"31.12."&amp;CURRENT_YEAR)</f>
        <v>31.12.2023</v>
      </c>
      <c r="I48" s="1746">
        <f>IF(f_year="",TRUE,FALSE)</f>
        <v>0</v>
      </c>
      <c r="J48" s="1749" t="s">
        <v>1961</v>
      </c>
      <c r="K48" s="1750"/>
      <c r="AX48" s="1124" t="s">
        <v>1962</v>
      </c>
      <c r="AZ48" s="1124" t="s">
        <v>1682</v>
      </c>
      <c r="BE48" s="1124">
        <v>2046</v>
      </c>
      <c r="BH48" s="1072" t="s">
        <v>1935</v>
      </c>
      <c r="BJ48" s="1221" t="s">
        <v>1346</v>
      </c>
      <c r="BL48" s="1221" t="s">
        <v>1346</v>
      </c>
      <c r="BN48" s="1072" t="s">
        <v>1963</v>
      </c>
    </row>
    <row customHeight="1" ht="11.25">
      <c r="A49" s="1078" t="s">
        <v>1964</v>
      </c>
      <c r="E49" s="411" t="s">
        <v>1965</v>
      </c>
      <c r="F49" s="1119" t="s">
        <v>1966</v>
      </c>
      <c r="G49" s="1120" t="str">
        <f>_xlfn.IFERROR(IF(f_year="","01.01."&amp;CURRENT_YEAR,"01.01."&amp;f_year),"01.01."&amp;CURRENT_YEAR)</f>
        <v>01.01.2023</v>
      </c>
      <c r="H49" s="1120" t="str">
        <f>_xlfn.IFERROR(IF(f_year="","31.12."&amp;CURRENT_YEAR,"31.12."&amp;f_year),"31.12."&amp;CURRENT_YEAR)</f>
        <v>31.12.2023</v>
      </c>
      <c r="I49" s="1746">
        <f>IF(f_year="",TRUE,FALSE)</f>
        <v>0</v>
      </c>
      <c r="J49" s="174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0"/>
      <c r="AX49" s="1124" t="s">
        <v>1967</v>
      </c>
      <c r="AZ49" s="1124" t="s">
        <v>1697</v>
      </c>
      <c r="BE49" s="1124">
        <v>2047</v>
      </c>
      <c r="BH49" s="1072" t="s">
        <v>1362</v>
      </c>
      <c r="BJ49" s="1221" t="s">
        <v>1348</v>
      </c>
      <c r="BL49" s="1221" t="s">
        <v>1348</v>
      </c>
    </row>
    <row customHeight="1" ht="11.25">
      <c r="A50" s="1078" t="s">
        <v>1968</v>
      </c>
      <c r="E50" s="411" t="s">
        <v>1969</v>
      </c>
      <c r="F50" s="1119" t="s">
        <v>1332</v>
      </c>
      <c r="G50" s="1120" t="str">
        <f>_xlfn.IFERROR(IF(f_year="","01.01."&amp;CURRENT_YEAR,"01.01."&amp;f_year),"01.01."&amp;CURRENT_YEAR)</f>
        <v>01.01.2023</v>
      </c>
      <c r="H50" s="1120" t="str">
        <f>_xlfn.IFERROR(IF(f_year="","31.12."&amp;CURRENT_YEAR,"31.12."&amp;f_year),"31.12."&amp;CURRENT_YEAR)</f>
        <v>31.12.2023</v>
      </c>
      <c r="I50" s="1746">
        <f>IF(f_year="",TRUE,FALSE)</f>
        <v>0</v>
      </c>
      <c r="J50" s="174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0"/>
      <c r="AX50" s="1124" t="s">
        <v>99</v>
      </c>
      <c r="AZ50" s="1124" t="s">
        <v>1712</v>
      </c>
      <c r="BE50" s="1124">
        <v>2048</v>
      </c>
      <c r="BH50" s="1072" t="s">
        <v>1942</v>
      </c>
      <c r="BJ50" s="1221" t="s">
        <v>1350</v>
      </c>
      <c r="BL50" s="1221" t="s">
        <v>1350</v>
      </c>
    </row>
    <row customHeight="1" ht="11.25">
      <c r="A51" s="1078" t="s">
        <v>1970</v>
      </c>
      <c r="E51" s="411" t="s">
        <v>1971</v>
      </c>
      <c r="F51" s="1119" t="s">
        <v>1972</v>
      </c>
      <c r="G51" s="1120" t="str">
        <f>_xlfn.IFERROR(IF(TITLE_PERIOD_START="","01.01."&amp;CURRENT_YEAR,"01.01."&amp;YEAR(TITLE_PERIOD_START)),"01.01."&amp;CURRENT_YEAR)</f>
        <v>01.01.2024</v>
      </c>
      <c r="H51" s="1120" t="str">
        <f>_xlfn.IFERROR(IF(TITLE_PERIOD_END="","31.12."&amp;CURRENT_YEAR,"31.12."&amp;YEAR(TITLE_PERIOD_END)),"31.12."&amp;CURRENT_YEAR)</f>
        <v>31.12.2024</v>
      </c>
      <c r="I51" s="1747">
        <f>IF(OR(TITLE_PERIOD_START="",TITLE_PERIOD_END=""),TRUE,FALSE)</f>
        <v>1</v>
      </c>
      <c r="J51" s="174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0"/>
      <c r="AX51" s="1124" t="s">
        <v>1973</v>
      </c>
      <c r="AZ51" s="1124" t="s">
        <v>1725</v>
      </c>
      <c r="BE51" s="1124">
        <v>2049</v>
      </c>
      <c r="BH51" s="1072" t="s">
        <v>1950</v>
      </c>
      <c r="BJ51" s="1221" t="s">
        <v>1974</v>
      </c>
      <c r="BL51" s="1221" t="s">
        <v>1974</v>
      </c>
    </row>
    <row customHeight="1" ht="11.25">
      <c r="A52" s="1078" t="s">
        <v>1975</v>
      </c>
      <c r="E52" s="411" t="s">
        <v>1976</v>
      </c>
      <c r="F52" s="1119" t="s">
        <v>1977</v>
      </c>
      <c r="G52" s="1120" t="str">
        <f>_xlfn.IFERROR(IF(TITLE_PERIOD_START="","01.01."&amp;CURRENT_YEAR,"01.01."&amp;YEAR(TITLE_PERIOD_START)),"01.01."&amp;CURRENT_YEAR)</f>
        <v>01.01.2024</v>
      </c>
      <c r="H52" s="1120" t="str">
        <f>_xlfn.IFERROR(IF(TITLE_PERIOD_END="","31.12."&amp;CURRENT_YEAR,"31.12."&amp;YEAR(TITLE_PERIOD_END)),"31.12."&amp;CURRENT_YEAR)</f>
        <v>31.12.2024</v>
      </c>
      <c r="I52" s="1747">
        <f>IF(OR(TITLE_PERIOD_START="",TITLE_PERIOD_END=""),TRUE,FALSE)</f>
        <v>1</v>
      </c>
      <c r="J52" s="1749" t="str">
        <f>"Показатели, подлежащие раскрытию в сфере "&amp;TEMPLATE_SPHERE_RUS&amp;" (цены и тарифы)"</f>
        <v>Показатели, подлежащие раскрытию в сфере теплоснабжения (цены и тарифы)</v>
      </c>
      <c r="K52" s="1750"/>
      <c r="AX52" s="1124" t="s">
        <v>110</v>
      </c>
      <c r="AZ52" s="1124" t="s">
        <v>1531</v>
      </c>
      <c r="BE52" s="1124">
        <v>2050</v>
      </c>
      <c r="BH52" s="1072" t="s">
        <v>1954</v>
      </c>
      <c r="BJ52" s="1221" t="s">
        <v>1361</v>
      </c>
      <c r="BL52" s="1221" t="s">
        <v>1361</v>
      </c>
    </row>
    <row customHeight="1" ht="11.25">
      <c r="A53" s="1078" t="s">
        <v>1978</v>
      </c>
      <c r="E53" s="411" t="s">
        <v>1979</v>
      </c>
      <c r="F53" s="1119" t="s">
        <v>1979</v>
      </c>
      <c r="G53" s="1120" t="str">
        <f>_xlfn.IFERROR(IF(f_year="","01.01."&amp;CURRENT_YEAR,"01.01."&amp;f_year),"01.01."&amp;CURRENT_YEAR)</f>
        <v>01.01.2023</v>
      </c>
      <c r="H53" s="1120" t="str">
        <f>_xlfn.IFERROR(IF(f_year="","31.12."&amp;CURRENT_YEAR,"31.12."&amp;f_year),"31.12."&amp;CURRENT_YEAR)</f>
        <v>31.12.2023</v>
      </c>
      <c r="I53" s="1746">
        <f>IF(AND(f_year="",TITLE_DATE_FIL=""),TRUE,FALSE)</f>
        <v>0</v>
      </c>
      <c r="J53" s="1749" t="s">
        <v>1980</v>
      </c>
      <c r="K53" s="1750"/>
      <c r="AX53" s="1124" t="s">
        <v>1981</v>
      </c>
      <c r="BE53" s="1124">
        <v>2051</v>
      </c>
      <c r="BH53" s="1072" t="s">
        <v>1958</v>
      </c>
      <c r="BJ53" s="1221" t="s">
        <v>1931</v>
      </c>
      <c r="BL53" s="1221" t="s">
        <v>1931</v>
      </c>
    </row>
    <row customHeight="1" ht="11.25">
      <c r="A54" s="1078" t="s">
        <v>1982</v>
      </c>
      <c r="AX54" s="1124" t="s">
        <v>1983</v>
      </c>
      <c r="AZ54" s="1071" t="s">
        <v>1984</v>
      </c>
      <c r="BE54" s="1124">
        <v>2052</v>
      </c>
      <c r="BH54" s="1072" t="s">
        <v>1963</v>
      </c>
      <c r="BJ54" s="1221" t="s">
        <v>1935</v>
      </c>
      <c r="BL54" s="1221" t="s">
        <v>1935</v>
      </c>
    </row>
    <row customHeight="1" ht="11.25">
      <c r="A55" s="1078" t="s">
        <v>1985</v>
      </c>
      <c r="AX55" s="1124" t="s">
        <v>1986</v>
      </c>
      <c r="AZ55" s="1124" t="s">
        <v>1533</v>
      </c>
      <c r="BE55" s="1124">
        <v>2053</v>
      </c>
      <c r="BH55" s="1074" t="s">
        <v>22</v>
      </c>
      <c r="BJ55" s="1221" t="s">
        <v>1362</v>
      </c>
      <c r="BL55" s="1221" t="s">
        <v>1362</v>
      </c>
    </row>
    <row customHeight="1" ht="11.25">
      <c r="A56" s="1078" t="s">
        <v>1987</v>
      </c>
      <c r="D56" s="1122" t="s">
        <v>1988</v>
      </c>
      <c r="E56" s="1099" t="s">
        <v>1989</v>
      </c>
      <c r="F56" s="1078" t="s">
        <v>1990</v>
      </c>
      <c r="AX56" s="1124" t="s">
        <v>1991</v>
      </c>
      <c r="AZ56" s="1124" t="s">
        <v>1558</v>
      </c>
      <c r="BE56" s="1124">
        <v>2054</v>
      </c>
      <c r="BH56" s="1074" t="s">
        <v>22</v>
      </c>
      <c r="BJ56" s="1221" t="s">
        <v>1942</v>
      </c>
      <c r="BL56" s="1221" t="s">
        <v>1942</v>
      </c>
    </row>
    <row customHeight="1" ht="11.25">
      <c r="A57" s="1078" t="s">
        <v>1992</v>
      </c>
      <c r="D57" s="1122" t="s">
        <v>1993</v>
      </c>
      <c r="E57" s="1099" t="s">
        <v>1994</v>
      </c>
      <c r="F57" s="1078" t="s">
        <v>1990</v>
      </c>
      <c r="AX57" s="1124" t="s">
        <v>1995</v>
      </c>
      <c r="AZ57" s="1124" t="s">
        <v>1593</v>
      </c>
      <c r="BE57" s="1124">
        <v>2055</v>
      </c>
      <c r="BJ57" s="1221" t="s">
        <v>1950</v>
      </c>
      <c r="BL57" s="1221" t="s">
        <v>1950</v>
      </c>
    </row>
    <row customHeight="1" ht="11.25">
      <c r="A58" s="1078" t="s">
        <v>1996</v>
      </c>
      <c r="D58" s="1122" t="s">
        <v>1997</v>
      </c>
      <c r="E58" s="1099" t="s">
        <v>1989</v>
      </c>
      <c r="F58" s="1078" t="s">
        <v>1990</v>
      </c>
      <c r="AX58" s="1124" t="s">
        <v>1998</v>
      </c>
      <c r="BE58" s="1124">
        <v>2056</v>
      </c>
      <c r="BJ58" s="1221" t="s">
        <v>1954</v>
      </c>
      <c r="BL58" s="1221" t="s">
        <v>1954</v>
      </c>
    </row>
    <row customHeight="1" ht="11.25">
      <c r="A59" s="1078" t="s">
        <v>1999</v>
      </c>
      <c r="D59" s="1122" t="s">
        <v>151</v>
      </c>
      <c r="E59" s="1099" t="s">
        <v>1888</v>
      </c>
      <c r="F59" s="1078" t="s">
        <v>2000</v>
      </c>
      <c r="AX59" s="1124" t="s">
        <v>2001</v>
      </c>
      <c r="AZ59" s="1071" t="s">
        <v>2002</v>
      </c>
      <c r="BE59" s="1124">
        <v>2057</v>
      </c>
      <c r="BJ59" s="1221" t="s">
        <v>1958</v>
      </c>
      <c r="BL59" s="1221" t="s">
        <v>1958</v>
      </c>
    </row>
    <row customHeight="1" ht="11.25">
      <c r="A60" s="1078" t="s">
        <v>2003</v>
      </c>
      <c r="D60" s="1122" t="s">
        <v>2004</v>
      </c>
      <c r="E60" s="1099" t="s">
        <v>1888</v>
      </c>
      <c r="F60" s="1078" t="s">
        <v>2000</v>
      </c>
      <c r="AX60" s="1124" t="s">
        <v>2005</v>
      </c>
      <c r="AZ60" s="1124" t="s">
        <v>1534</v>
      </c>
      <c r="BE60" s="1124">
        <v>2058</v>
      </c>
      <c r="BJ60" s="1221" t="s">
        <v>1963</v>
      </c>
      <c r="BL60" s="1221" t="s">
        <v>1963</v>
      </c>
    </row>
    <row customHeight="1" ht="11.25">
      <c r="A61" s="1078" t="s">
        <v>2006</v>
      </c>
      <c r="D61" s="1122" t="s">
        <v>2007</v>
      </c>
      <c r="E61" s="1099" t="s">
        <v>1888</v>
      </c>
      <c r="F61" s="1078" t="s">
        <v>2000</v>
      </c>
      <c r="AX61" s="1124" t="s">
        <v>2008</v>
      </c>
      <c r="AZ61" s="1124" t="s">
        <v>1559</v>
      </c>
      <c r="BE61" s="1124">
        <v>2059</v>
      </c>
      <c r="BL61" s="1221" t="s">
        <v>1354</v>
      </c>
    </row>
    <row customHeight="1" ht="11.25">
      <c r="A62" s="1078" t="s">
        <v>2009</v>
      </c>
      <c r="D62" s="1122" t="s">
        <v>150</v>
      </c>
      <c r="E62" s="1099">
        <v>30</v>
      </c>
      <c r="F62" s="1078" t="s">
        <v>2000</v>
      </c>
      <c r="AZ62" s="1124" t="s">
        <v>1594</v>
      </c>
      <c r="BE62" s="1124">
        <v>2060</v>
      </c>
      <c r="BL62" s="1221" t="s">
        <v>1356</v>
      </c>
    </row>
    <row customHeight="1" ht="11.25">
      <c r="A63" s="1078" t="s">
        <v>2010</v>
      </c>
      <c r="D63" s="1122" t="s">
        <v>2011</v>
      </c>
      <c r="E63" s="1099">
        <v>30</v>
      </c>
      <c r="F63" s="1078" t="s">
        <v>2000</v>
      </c>
      <c r="AZ63" s="1124" t="s">
        <v>1626</v>
      </c>
      <c r="BE63" s="1124">
        <v>2061</v>
      </c>
    </row>
    <row customHeight="1" ht="11.25">
      <c r="A64" s="1078" t="s">
        <v>2012</v>
      </c>
      <c r="D64" s="1122" t="s">
        <v>2013</v>
      </c>
      <c r="E64" s="1099">
        <v>30</v>
      </c>
      <c r="F64" s="1078" t="s">
        <v>2000</v>
      </c>
      <c r="AZ64" s="1124" t="s">
        <v>1648</v>
      </c>
      <c r="BE64" s="1124">
        <v>2062</v>
      </c>
    </row>
    <row customHeight="1" ht="11.25">
      <c r="A65" s="1078" t="s">
        <v>2014</v>
      </c>
      <c r="D65" s="1078"/>
      <c r="BE65" s="1124">
        <v>2063</v>
      </c>
    </row>
    <row customHeight="1" ht="11.25">
      <c r="A66" s="1078" t="s">
        <v>2015</v>
      </c>
      <c r="AZ66" s="1071" t="s">
        <v>2016</v>
      </c>
      <c r="BE66" s="1124">
        <v>2064</v>
      </c>
    </row>
    <row customHeight="1" ht="11.25">
      <c r="A67" s="1078" t="s">
        <v>2017</v>
      </c>
      <c r="AZ67" s="1124" t="s">
        <v>1535</v>
      </c>
      <c r="BE67" s="1124">
        <v>2065</v>
      </c>
    </row>
    <row customHeight="1" ht="11.25">
      <c r="A68" s="1078" t="s">
        <v>2018</v>
      </c>
      <c r="AZ68" s="1124" t="s">
        <v>1560</v>
      </c>
      <c r="BE68" s="1124">
        <v>2066</v>
      </c>
      <c r="BH68" s="1071" t="s">
        <v>2019</v>
      </c>
      <c r="BJ68" s="1071" t="s">
        <v>2020</v>
      </c>
      <c r="BL68" s="1071" t="s">
        <v>2021</v>
      </c>
      <c r="BN68" s="1071" t="s">
        <v>2022</v>
      </c>
    </row>
    <row customHeight="1" ht="11.25">
      <c r="A69" s="1078" t="s">
        <v>2023</v>
      </c>
      <c r="AZ69" s="1124" t="s">
        <v>1595</v>
      </c>
      <c r="BE69" s="1124">
        <v>2067</v>
      </c>
      <c r="BH69" s="1072" t="s">
        <v>1302</v>
      </c>
      <c r="BI69" s="1121" t="s">
        <v>119</v>
      </c>
      <c r="BJ69" s="1072" t="s">
        <v>2024</v>
      </c>
      <c r="BK69" s="1121" t="s">
        <v>119</v>
      </c>
      <c r="BL69" s="1072" t="s">
        <v>2025</v>
      </c>
      <c r="BM69" s="1074" t="s">
        <v>119</v>
      </c>
      <c r="BN69" s="1072" t="s">
        <v>2026</v>
      </c>
    </row>
    <row customHeight="1" ht="11.25">
      <c r="A70" s="1078" t="s">
        <v>2027</v>
      </c>
      <c r="AZ70" s="1124" t="s">
        <v>1627</v>
      </c>
      <c r="BE70" s="1124">
        <v>2068</v>
      </c>
      <c r="BH70" s="1072" t="s">
        <v>1310</v>
      </c>
      <c r="BJ70" s="1072" t="s">
        <v>2028</v>
      </c>
      <c r="BL70" s="1072" t="s">
        <v>2029</v>
      </c>
      <c r="BN70" s="1072" t="s">
        <v>2030</v>
      </c>
    </row>
    <row customHeight="1" ht="11.25">
      <c r="A71" s="1078" t="s">
        <v>2031</v>
      </c>
      <c r="AZ71" s="1124" t="s">
        <v>1629</v>
      </c>
      <c r="BE71" s="1124">
        <v>2069</v>
      </c>
      <c r="BH71" s="1072" t="s">
        <v>1324</v>
      </c>
      <c r="BI71" s="1121" t="s">
        <v>90</v>
      </c>
      <c r="BJ71" s="1072" t="s">
        <v>2032</v>
      </c>
      <c r="BK71" s="1121" t="s">
        <v>90</v>
      </c>
      <c r="BL71" s="1072" t="s">
        <v>2033</v>
      </c>
      <c r="BM71" s="1074" t="s">
        <v>90</v>
      </c>
      <c r="BN71" s="1072" t="s">
        <v>2034</v>
      </c>
    </row>
    <row customHeight="1" ht="11.25">
      <c r="A72" s="1078" t="s">
        <v>2035</v>
      </c>
      <c r="AZ72" s="1124" t="s">
        <v>19</v>
      </c>
      <c r="BE72" s="1124">
        <v>2070</v>
      </c>
      <c r="BH72" s="1072" t="s">
        <v>2036</v>
      </c>
      <c r="BJ72" s="1072" t="s">
        <v>2036</v>
      </c>
      <c r="BL72" s="1072" t="s">
        <v>2036</v>
      </c>
      <c r="BN72" s="1072" t="s">
        <v>2037</v>
      </c>
    </row>
    <row customHeight="1" ht="11.25">
      <c r="A73" s="1078" t="s">
        <v>2038</v>
      </c>
      <c r="BH73" s="1072" t="s">
        <v>2039</v>
      </c>
      <c r="BI73" s="1121" t="s">
        <v>120</v>
      </c>
      <c r="BJ73" s="1072" t="s">
        <v>2040</v>
      </c>
      <c r="BK73" s="1121" t="s">
        <v>120</v>
      </c>
      <c r="BL73" s="1072" t="s">
        <v>2041</v>
      </c>
      <c r="BM73" s="1074" t="s">
        <v>120</v>
      </c>
      <c r="BN73" s="1072" t="s">
        <v>2042</v>
      </c>
    </row>
    <row customHeight="1" ht="11.25">
      <c r="A74" s="1078" t="s">
        <v>2043</v>
      </c>
      <c r="BH74" s="1072" t="s">
        <v>1315</v>
      </c>
      <c r="BJ74" s="1072" t="s">
        <v>2044</v>
      </c>
      <c r="BL74" s="1072" t="s">
        <v>2045</v>
      </c>
      <c r="BN74" s="1072" t="s">
        <v>2046</v>
      </c>
    </row>
    <row customHeight="1" ht="11.25">
      <c r="A75" s="1078" t="s">
        <v>2047</v>
      </c>
      <c r="AZ75" s="1071" t="s">
        <v>2048</v>
      </c>
      <c r="BH75" s="1072" t="s">
        <v>2049</v>
      </c>
      <c r="BJ75" s="1072" t="s">
        <v>2049</v>
      </c>
      <c r="BL75" s="1072" t="s">
        <v>2049</v>
      </c>
    </row>
    <row customHeight="1" ht="11.25">
      <c r="A76" s="1078" t="s">
        <v>2050</v>
      </c>
      <c r="AZ76" s="1124" t="s">
        <v>1544</v>
      </c>
      <c r="BH76" s="1072" t="s">
        <v>1319</v>
      </c>
      <c r="BJ76" s="1072" t="s">
        <v>2051</v>
      </c>
      <c r="BL76" s="1072" t="s">
        <v>2052</v>
      </c>
    </row>
    <row customHeight="1" ht="11.25">
      <c r="A77" s="1078" t="s">
        <v>2053</v>
      </c>
      <c r="AZ77" s="1124" t="s">
        <v>1570</v>
      </c>
    </row>
    <row customHeight="1" ht="11.25">
      <c r="A78" s="1078" t="s">
        <v>2054</v>
      </c>
      <c r="AZ78" s="1124" t="s">
        <v>1602</v>
      </c>
    </row>
    <row customHeight="1" ht="11.25">
      <c r="A79" s="1078" t="s">
        <v>2055</v>
      </c>
      <c r="AZ79" s="1124" t="s">
        <v>1633</v>
      </c>
      <c r="BH79" s="1071" t="s">
        <v>1301</v>
      </c>
      <c r="BJ79" s="1071" t="s">
        <v>2056</v>
      </c>
      <c r="BL79" s="1071" t="s">
        <v>2057</v>
      </c>
    </row>
    <row customHeight="1" ht="11.25">
      <c r="A80" s="1078" t="s">
        <v>2058</v>
      </c>
      <c r="AZ80" s="1124" t="s">
        <v>1653</v>
      </c>
      <c r="BH80" s="1072" t="s">
        <v>1303</v>
      </c>
      <c r="BJ80" s="1072" t="s">
        <v>2059</v>
      </c>
      <c r="BL80" s="1072" t="s">
        <v>2060</v>
      </c>
    </row>
    <row customHeight="1" ht="11.25">
      <c r="A81" s="1078" t="s">
        <v>2061</v>
      </c>
      <c r="AZ81" s="1124" t="s">
        <v>1670</v>
      </c>
      <c r="BH81" s="1072" t="s">
        <v>2062</v>
      </c>
      <c r="BJ81" s="1072" t="s">
        <v>2063</v>
      </c>
      <c r="BL81" s="1072" t="s">
        <v>2064</v>
      </c>
    </row>
    <row customHeight="1" ht="11.25">
      <c r="A82" s="1078" t="s">
        <v>2065</v>
      </c>
      <c r="AZ82" s="1124" t="s">
        <v>1684</v>
      </c>
      <c r="BH82" s="1072" t="s">
        <v>2066</v>
      </c>
      <c r="BJ82" s="1072" t="s">
        <v>2067</v>
      </c>
      <c r="BL82" s="1072" t="s">
        <v>2068</v>
      </c>
    </row>
    <row customHeight="1" ht="11.25">
      <c r="A83" s="1078" t="s">
        <v>2069</v>
      </c>
      <c r="BH83" s="1072" t="s">
        <v>1309</v>
      </c>
      <c r="BJ83" s="1072" t="s">
        <v>2070</v>
      </c>
      <c r="BL83" s="1072" t="s">
        <v>2071</v>
      </c>
    </row>
    <row customHeight="1" ht="11.25">
      <c r="A84" s="1078" t="s">
        <v>2072</v>
      </c>
      <c r="AZ84" s="1071" t="s">
        <v>2073</v>
      </c>
    </row>
    <row customHeight="1" ht="11.25">
      <c r="A85" s="1874" t="s">
        <v>2074</v>
      </c>
      <c r="AZ85" s="1124" t="s">
        <v>2075</v>
      </c>
    </row>
    <row customHeight="1" ht="11.25">
      <c r="A86" s="1078" t="s">
        <v>2076</v>
      </c>
      <c r="AZ86" s="1124" t="s">
        <v>2077</v>
      </c>
      <c r="BH86" s="1071" t="s">
        <v>1323</v>
      </c>
      <c r="BJ86" s="1071" t="s">
        <v>2078</v>
      </c>
      <c r="BL86" s="1071" t="s">
        <v>2079</v>
      </c>
    </row>
    <row customHeight="1" ht="11.25">
      <c r="A87" s="1078" t="s">
        <v>2080</v>
      </c>
      <c r="AZ87" s="1124" t="s">
        <v>2081</v>
      </c>
      <c r="BH87" s="1072" t="s">
        <v>1325</v>
      </c>
      <c r="BJ87" s="1072" t="s">
        <v>2082</v>
      </c>
      <c r="BL87" s="1072" t="s">
        <v>2083</v>
      </c>
    </row>
    <row customHeight="1" ht="11.25">
      <c r="A88" s="1078" t="s">
        <v>2084</v>
      </c>
      <c r="AZ88" s="1610"/>
      <c r="BH88" s="1072" t="s">
        <v>2085</v>
      </c>
      <c r="BJ88" s="1072" t="s">
        <v>2086</v>
      </c>
      <c r="BL88" s="1072" t="s">
        <v>2087</v>
      </c>
    </row>
    <row customHeight="1" ht="11.25">
      <c r="A89" s="1078" t="s">
        <v>2088</v>
      </c>
      <c r="AZ89" s="1071" t="s">
        <v>2089</v>
      </c>
    </row>
    <row customHeight="1" ht="11.25">
      <c r="A90" s="1078" t="s">
        <v>2090</v>
      </c>
      <c r="AZ90" s="1124" t="s">
        <v>1332</v>
      </c>
    </row>
    <row customHeight="1" ht="11.25">
      <c r="A91" s="1078" t="s">
        <v>2091</v>
      </c>
      <c r="AZ91" s="1124" t="s">
        <v>1368</v>
      </c>
      <c r="BH91" s="1071" t="s">
        <v>2092</v>
      </c>
      <c r="BJ91" s="1071" t="s">
        <v>2093</v>
      </c>
      <c r="BL91" s="1071" t="s">
        <v>2094</v>
      </c>
    </row>
    <row customHeight="1" ht="11.25">
      <c r="AZ92" s="1124" t="s">
        <v>2095</v>
      </c>
      <c r="BH92" s="1072" t="s">
        <v>2096</v>
      </c>
      <c r="BJ92" s="1072" t="s">
        <v>2097</v>
      </c>
      <c r="BL92" s="1072" t="s">
        <v>2098</v>
      </c>
    </row>
    <row customHeight="1" ht="11.25">
      <c r="AZ93" s="1124" t="s">
        <v>2099</v>
      </c>
      <c r="BH93" s="1072" t="s">
        <v>2100</v>
      </c>
      <c r="BJ93" s="1072" t="s">
        <v>2101</v>
      </c>
      <c r="BL93" s="1072" t="s">
        <v>2102</v>
      </c>
    </row>
    <row customHeight="1" ht="11.25">
      <c r="AZ94" s="1124" t="s">
        <v>2103</v>
      </c>
    </row>
    <row r="96" customHeight="1" ht="11.25">
      <c r="AZ96" s="1071" t="s">
        <v>2104</v>
      </c>
      <c r="BH96" s="1071" t="s">
        <v>2105</v>
      </c>
      <c r="BJ96" s="1071" t="s">
        <v>2106</v>
      </c>
      <c r="BL96" s="1071" t="s">
        <v>2107</v>
      </c>
      <c r="BN96" s="1071" t="s">
        <v>2108</v>
      </c>
    </row>
    <row customHeight="1" ht="11.25">
      <c r="AZ97" s="1905" t="s">
        <v>2109</v>
      </c>
      <c r="BA97" s="1906" t="s">
        <v>2110</v>
      </c>
      <c r="BH97" s="1072" t="s">
        <v>2111</v>
      </c>
      <c r="BJ97" s="1072" t="s">
        <v>2112</v>
      </c>
      <c r="BL97" s="1072" t="s">
        <v>2113</v>
      </c>
      <c r="BN97" s="1072" t="s">
        <v>2114</v>
      </c>
    </row>
    <row customHeight="1" ht="11.25">
      <c r="AZ98" s="1905" t="s">
        <v>2115</v>
      </c>
      <c r="BA98" s="1906" t="s">
        <v>2116</v>
      </c>
      <c r="BH98" s="1072" t="s">
        <v>2117</v>
      </c>
      <c r="BJ98" s="1072" t="s">
        <v>2118</v>
      </c>
      <c r="BL98" s="1072" t="s">
        <v>2119</v>
      </c>
      <c r="BN98" s="1072" t="s">
        <v>2120</v>
      </c>
    </row>
    <row customHeight="1" ht="22.5">
      <c r="AZ99" s="1905" t="s">
        <v>2121</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2" t="s">
        <v>2122</v>
      </c>
      <c r="BJ99" s="1072" t="s">
        <v>2123</v>
      </c>
      <c r="BL99" s="1072" t="s">
        <v>2124</v>
      </c>
      <c r="BN99" s="1072" t="s">
        <v>2125</v>
      </c>
    </row>
    <row customHeight="1" ht="22.5">
      <c r="AZ100" s="1905" t="s">
        <v>2126</v>
      </c>
      <c r="BA100"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2" t="s">
        <v>1725</v>
      </c>
      <c r="BL100" s="1072" t="s">
        <v>1725</v>
      </c>
      <c r="BN100" s="1072" t="s">
        <v>2127</v>
      </c>
    </row>
    <row customHeight="1" ht="22.5">
      <c r="AZ101" s="1905" t="s">
        <v>2128</v>
      </c>
      <c r="BA101" s="1906" t="s">
        <v>2129</v>
      </c>
      <c r="BN101" s="1072" t="s">
        <v>2130</v>
      </c>
    </row>
    <row customHeight="1" ht="22.5">
      <c r="AZ102" s="1905" t="s">
        <v>2131</v>
      </c>
      <c r="BA102"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2" t="s">
        <v>2132</v>
      </c>
    </row>
    <row customHeight="1" ht="11.25">
      <c r="AZ103" s="1905" t="s">
        <v>2133</v>
      </c>
      <c r="BA103" s="1906" t="s">
        <v>2134</v>
      </c>
      <c r="BN103" s="1072" t="s">
        <v>2135</v>
      </c>
    </row>
    <row customHeight="1" ht="11.25">
      <c r="BN104" s="1072" t="s">
        <v>2136</v>
      </c>
    </row>
    <row customHeight="1" ht="11.25">
      <c r="AZ105" s="1696" t="s">
        <v>2137</v>
      </c>
    </row>
    <row customHeight="1" ht="11.25">
      <c r="AZ106" s="1124" t="s">
        <v>2138</v>
      </c>
    </row>
    <row customHeight="1" ht="11.25">
      <c r="AZ107" s="1124" t="s">
        <v>2139</v>
      </c>
      <c r="BH107" s="1071" t="s">
        <v>2140</v>
      </c>
      <c r="BJ107" s="1071" t="s">
        <v>2141</v>
      </c>
      <c r="BL107" s="1071" t="s">
        <v>2142</v>
      </c>
      <c r="BN107" s="1071" t="s">
        <v>2143</v>
      </c>
    </row>
    <row customHeight="1" ht="11.25">
      <c r="AZ108" s="1124" t="s">
        <v>591</v>
      </c>
      <c r="BH108" s="1072" t="s">
        <v>2144</v>
      </c>
      <c r="BJ108" s="1072" t="s">
        <v>2145</v>
      </c>
      <c r="BL108" s="1072" t="s">
        <v>1810</v>
      </c>
      <c r="BN108" s="1072" t="s">
        <v>2146</v>
      </c>
    </row>
    <row customHeight="1" ht="11.25">
      <c r="BH109" s="1072" t="s">
        <v>2147</v>
      </c>
    </row>
    <row customHeight="1" ht="11.25">
      <c r="AZ110" s="1696" t="s">
        <v>2148</v>
      </c>
      <c r="BH110" s="1072" t="s">
        <v>2147</v>
      </c>
    </row>
    <row customHeight="1" ht="11.25">
      <c r="AZ111" s="1905" t="s">
        <v>2109</v>
      </c>
      <c r="BA111" s="1906" t="s">
        <v>2110</v>
      </c>
    </row>
    <row customHeight="1" ht="11.25">
      <c r="AZ112" s="1905" t="s">
        <v>2115</v>
      </c>
      <c r="BA112" s="1906" t="s">
        <v>2116</v>
      </c>
    </row>
    <row customHeight="1" ht="22.5">
      <c r="AZ113" s="1905" t="s">
        <v>2121</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2126</v>
      </c>
      <c r="BA114"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1" t="s">
        <v>2149</v>
      </c>
    </row>
    <row customHeight="1" ht="22.5">
      <c r="AZ115" s="1905" t="s">
        <v>2131</v>
      </c>
      <c r="BA115"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2" t="s">
        <v>1531</v>
      </c>
    </row>
    <row customHeight="1" ht="11.25">
      <c r="AZ116" s="1905" t="s">
        <v>2133</v>
      </c>
      <c r="BA116" s="1906" t="s">
        <v>2134</v>
      </c>
      <c r="BH116" s="1072" t="s">
        <v>1556</v>
      </c>
    </row>
    <row customHeight="1" ht="11.25">
      <c r="BH117" s="1072" t="s">
        <v>1591</v>
      </c>
    </row>
    <row customHeight="1" ht="11.25">
      <c r="BH118" s="1072" t="s">
        <v>1624</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3B963E-CA9D-2C0D-CEDA-6B4BB4ED403A}"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93.00390625" customWidth="1"/>
    <col min="8" max="8" style="459" width="8.00390625" customWidth="1"/>
    <col min="9" max="9" style="459" width="64.00390625" customWidth="1"/>
    <col min="10" max="10" style="459" width="9.140625" hidden="1"/>
  </cols>
  <sheetData>
    <row customHeight="1" ht="11.25" hidden="1">
      <c r="A1" s="505" t="s">
        <v>317</v>
      </c>
      <c r="J1" s="459" t="s">
        <v>14</v>
      </c>
    </row>
    <row customHeight="1" ht="22.5" hidden="1">
      <c r="A2" s="506"/>
      <c r="B2" s="506"/>
      <c r="C2" s="1734" t="s">
        <v>104</v>
      </c>
      <c r="D2" s="1524"/>
      <c r="E2" s="1530"/>
      <c r="F2" s="1553"/>
      <c r="H2" s="479"/>
      <c r="J2" s="459">
        <v>0</v>
      </c>
    </row>
    <row customHeight="1" ht="11.25" hidden="1">
      <c r="J3" s="459">
        <v>0</v>
      </c>
    </row>
    <row customHeight="1" ht="11.549999999999999">
      <c r="A4" s="1554"/>
      <c r="B4" s="1554"/>
      <c r="J4" s="459">
        <v>11</v>
      </c>
    </row>
    <row customHeight="1" ht="27.299999999999997">
      <c r="D5" s="22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3"/>
      <c r="F5" s="2244"/>
      <c r="I5" s="719"/>
      <c r="J5" s="459">
        <v>26</v>
      </c>
    </row>
    <row customHeight="1" ht="18">
      <c r="D6" s="2180" t="str">
        <f>IF(region_name=0,"Не определено",region_name)</f>
        <v>Нижегородская область</v>
      </c>
      <c r="E6" s="2180"/>
      <c r="F6" s="2180"/>
      <c r="I6" s="719"/>
      <c r="J6" s="459">
        <v>17</v>
      </c>
    </row>
    <row s="481" customFormat="1" customHeight="1" ht="11.549999999999999">
      <c r="A7" s="505"/>
      <c r="B7" s="505"/>
      <c r="D7" s="718"/>
      <c r="E7" s="718"/>
      <c r="F7" s="756"/>
      <c r="G7" s="718"/>
      <c r="J7" s="481">
        <v>11</v>
      </c>
    </row>
    <row customHeight="1" ht="11.25" hidden="1">
      <c r="A8" s="506"/>
      <c r="B8" s="506"/>
      <c r="C8" s="461"/>
      <c r="D8" s="467"/>
      <c r="E8" s="2211"/>
      <c r="F8" s="2211"/>
      <c r="J8" s="459">
        <v>0</v>
      </c>
    </row>
    <row customHeight="1" ht="11.549999999999999">
      <c r="A9" s="506"/>
      <c r="B9" s="506"/>
      <c r="C9" s="461"/>
      <c r="D9" s="2208" t="s">
        <v>318</v>
      </c>
      <c r="E9" s="2209"/>
      <c r="F9" s="2209"/>
      <c r="G9" s="2212" t="s">
        <v>319</v>
      </c>
      <c r="J9" s="459">
        <v>11</v>
      </c>
    </row>
    <row customHeight="1" ht="11.549999999999999">
      <c r="A10" s="506"/>
      <c r="B10" s="506"/>
      <c r="C10" s="461"/>
      <c r="D10" s="1478" t="s">
        <v>88</v>
      </c>
      <c r="E10" s="1480" t="s">
        <v>320</v>
      </c>
      <c r="F10" s="1480" t="s">
        <v>321</v>
      </c>
      <c r="G10" s="2213"/>
      <c r="J10" s="459">
        <v>11</v>
      </c>
    </row>
    <row customHeight="1" ht="1.05">
      <c r="A11" s="506"/>
      <c r="B11" s="506"/>
      <c r="C11" s="461"/>
      <c r="D11" s="468"/>
      <c r="E11" s="468"/>
      <c r="F11" s="468"/>
      <c r="G11" s="468"/>
      <c r="J11" s="459">
        <v>1</v>
      </c>
    </row>
    <row customHeight="1" ht="24">
      <c r="A12" s="506"/>
      <c r="B12" s="506"/>
      <c r="C12" s="461"/>
      <c r="D12" s="1524">
        <v>1</v>
      </c>
      <c r="E12" s="47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2" t="str">
        <f>IF(org="","",org)</f>
        <v>АО "Теплоэнерго"</v>
      </c>
      <c r="G12" s="47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7"/>
      <c r="J12" s="459">
        <v>23</v>
      </c>
    </row>
    <row customHeight="1" ht="19.95">
      <c r="A13" s="506"/>
      <c r="B13" s="506"/>
      <c r="C13" s="461"/>
      <c r="D13" s="1524">
        <v>2</v>
      </c>
      <c r="E13" s="1531" t="s">
        <v>2150</v>
      </c>
      <c r="F13" s="1525" t="s">
        <v>324</v>
      </c>
      <c r="G13" s="478"/>
      <c r="H13" s="1537"/>
      <c r="J13" s="459">
        <v>19</v>
      </c>
    </row>
    <row customHeight="1" ht="19.95">
      <c r="A14" s="506"/>
      <c r="B14" s="506"/>
      <c r="C14" s="461"/>
      <c r="D14" s="1527" t="s">
        <v>969</v>
      </c>
      <c r="E14" s="1528" t="s">
        <v>2151</v>
      </c>
      <c r="F14" s="1530"/>
      <c r="G14" s="1529" t="s">
        <v>2152</v>
      </c>
      <c r="H14" s="1537"/>
      <c r="J14" s="459">
        <v>19</v>
      </c>
    </row>
    <row customHeight="1" ht="19.95">
      <c r="A15" s="506"/>
      <c r="B15" s="506"/>
      <c r="C15" s="461"/>
      <c r="D15" s="1527" t="s">
        <v>325</v>
      </c>
      <c r="E15" s="1528" t="s">
        <v>2153</v>
      </c>
      <c r="F15" s="1530"/>
      <c r="G15" s="1529" t="s">
        <v>2154</v>
      </c>
      <c r="H15" s="1537"/>
      <c r="J15" s="459">
        <v>19</v>
      </c>
    </row>
    <row customHeight="1" ht="24">
      <c r="A16" s="506"/>
      <c r="B16" s="506"/>
      <c r="C16" s="461"/>
      <c r="D16" s="1527" t="s">
        <v>328</v>
      </c>
      <c r="E16" s="1526" t="s">
        <v>2155</v>
      </c>
      <c r="F16" s="1535"/>
      <c r="G16" s="478" t="s">
        <v>2156</v>
      </c>
      <c r="H16" s="1537"/>
      <c r="J16" s="459">
        <v>23</v>
      </c>
    </row>
    <row customHeight="1" ht="48.29999999999999">
      <c r="A17" s="506"/>
      <c r="B17" s="506"/>
      <c r="C17" s="461"/>
      <c r="D17" s="1524">
        <v>3</v>
      </c>
      <c r="E17" s="1531" t="s">
        <v>2157</v>
      </c>
      <c r="F17" s="1530"/>
      <c r="G17" s="478" t="s">
        <v>2158</v>
      </c>
      <c r="H17" s="1537"/>
      <c r="J17" s="459">
        <v>46</v>
      </c>
    </row>
    <row customHeight="1" ht="48.29999999999999">
      <c r="A18" s="1479">
        <v>1</v>
      </c>
      <c r="B18" s="506"/>
      <c r="C18" s="1481"/>
      <c r="D18" s="1524" t="s">
        <v>91</v>
      </c>
      <c r="E18" s="1531" t="s">
        <v>2159</v>
      </c>
      <c r="F18" s="1530"/>
      <c r="G18" s="478" t="s">
        <v>2158</v>
      </c>
      <c r="H18" s="1537"/>
      <c r="I18" s="856"/>
      <c r="J18" s="459">
        <v>46</v>
      </c>
    </row>
    <row customHeight="1" ht="23.25">
      <c r="A19" s="506"/>
      <c r="B19" s="506"/>
      <c r="C19" s="461"/>
      <c r="D19" s="1524" t="s">
        <v>120</v>
      </c>
      <c r="E19" s="1531" t="s">
        <v>2160</v>
      </c>
      <c r="F19" s="1525" t="s">
        <v>324</v>
      </c>
      <c r="G19" s="2475" t="s">
        <v>2161</v>
      </c>
      <c r="H19" s="479"/>
      <c r="J19" s="459">
        <v>22</v>
      </c>
    </row>
    <row s="1534" customFormat="1" customHeight="1" ht="5.25" hidden="1">
      <c r="A20" s="506"/>
      <c r="B20" s="506"/>
      <c r="C20" s="1533"/>
      <c r="D20" s="1532" t="s">
        <v>1433</v>
      </c>
      <c r="E20" s="1018"/>
      <c r="F20" s="1017"/>
      <c r="G20" s="2476"/>
      <c r="J20" s="1534">
        <v>0</v>
      </c>
    </row>
    <row customHeight="1" ht="15.75">
      <c r="A21" s="506"/>
      <c r="B21" s="506"/>
      <c r="C21" s="461"/>
      <c r="D21" s="471"/>
      <c r="E21" s="419" t="s">
        <v>357</v>
      </c>
      <c r="F21" s="473"/>
      <c r="G21" s="2477"/>
      <c r="H21" s="1537"/>
      <c r="J21" s="459">
        <v>15</v>
      </c>
    </row>
    <row s="505" customFormat="1" customHeight="1" ht="26.25">
      <c r="A22" s="506"/>
      <c r="B22" s="506"/>
      <c r="C22" s="506"/>
      <c r="D22" s="1524" t="s">
        <v>92</v>
      </c>
      <c r="E22" s="478" t="s">
        <v>2162</v>
      </c>
      <c r="F22" s="1530"/>
      <c r="G22" s="478" t="s">
        <v>2163</v>
      </c>
      <c r="H22" s="1536"/>
      <c r="J22" s="505">
        <v>25</v>
      </c>
    </row>
    <row s="505" customFormat="1" customHeight="1" ht="19.95">
      <c r="A23" s="506"/>
      <c r="B23" s="506"/>
      <c r="C23" s="506"/>
      <c r="D23" s="1524" t="s">
        <v>93</v>
      </c>
      <c r="E23" s="1531" t="s">
        <v>2164</v>
      </c>
      <c r="F23" s="1535"/>
      <c r="G23" s="478" t="s">
        <v>2165</v>
      </c>
      <c r="H23" s="1536"/>
      <c r="J23" s="505">
        <v>19</v>
      </c>
    </row>
    <row s="505" customFormat="1" customHeight="1" ht="144" hidden="1">
      <c r="A24" s="506"/>
      <c r="B24" s="506"/>
      <c r="C24" s="506"/>
      <c r="D24" s="1524" t="s">
        <v>121</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6"/>
      <c r="J24" s="505">
        <v>0</v>
      </c>
    </row>
    <row customHeight="1" ht="11.25" hidden="1">
      <c r="A25" s="505" t="s">
        <v>82</v>
      </c>
      <c r="B25" s="505">
        <v>0</v>
      </c>
      <c r="C25" s="459">
        <v>3</v>
      </c>
      <c r="D25" s="460">
        <v>6</v>
      </c>
      <c r="E25" s="459">
        <v>52</v>
      </c>
      <c r="F25" s="459">
        <v>48</v>
      </c>
      <c r="G25" s="459">
        <v>93</v>
      </c>
      <c r="H25" s="459">
        <v>8</v>
      </c>
      <c r="I25" s="459">
        <v>64</v>
      </c>
      <c r="J25" s="45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C80FDC-4DEC-B015-2145-C3EEE5CD8FA9}"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46.00390625" customWidth="1"/>
    <col min="7" max="8" style="1639" width="16.00390625" customWidth="1"/>
    <col min="9" max="9" style="1639" width="35.00390625" customWidth="1"/>
    <col min="10" max="10" style="1639" width="89.00390625" customWidth="1"/>
    <col min="11" max="11" style="1628" width="3.00390625" customWidth="1"/>
    <col min="12" max="14" style="1628" width="8.00390625" customWidth="1"/>
    <col min="15" max="15" style="1628" width="25.00390625" customWidth="1"/>
    <col min="16" max="16" style="1628" width="14.00390625" customWidth="1"/>
    <col min="17" max="20" style="229" width="8.00390625" customWidth="1"/>
    <col min="21" max="254" style="1639" width="8.00390625" customWidth="1"/>
    <col min="255" max="255" style="1639" width="9.140625" hidden="1"/>
  </cols>
  <sheetData>
    <row customHeight="1" ht="22.5" hidden="1">
      <c r="F1" s="1635" t="s">
        <v>2166</v>
      </c>
      <c r="G1" s="1635" t="s">
        <v>47</v>
      </c>
      <c r="H1" s="1635" t="s">
        <v>49</v>
      </c>
      <c r="IU1" s="1159" t="s">
        <v>14</v>
      </c>
    </row>
    <row s="1854" customFormat="1" customHeight="1" ht="22.5" hidden="1">
      <c r="A2" s="835"/>
      <c r="B2" s="1164">
        <v>1</v>
      </c>
      <c r="C2" s="1164"/>
      <c r="D2" s="1932" t="s">
        <v>104</v>
      </c>
      <c r="E2" s="1488"/>
      <c r="F2" s="1495"/>
      <c r="G2" s="1495"/>
      <c r="H2" s="1495"/>
      <c r="I2" s="1988"/>
      <c r="J2" s="1989"/>
      <c r="K2" s="1539"/>
      <c r="L2" s="515"/>
      <c r="M2" s="515"/>
      <c r="N2" s="504" t="str">
        <f t="array" ref="N2:N2">IF(ISERROR(MATCH(MID(O2,1,250),MID(note_ter,1,250),0)),"n","y")</f>
        <v>n</v>
      </c>
      <c r="O2" s="515"/>
      <c r="P2" s="504" t="str">
        <f>G2&amp;"("&amp;J2&amp;")"</f>
        <v>()</v>
      </c>
      <c r="Q2" s="1164"/>
      <c r="R2" s="1164"/>
      <c r="S2" s="424"/>
      <c r="T2" s="1164"/>
      <c r="U2" s="1164"/>
      <c r="V2" s="1164"/>
      <c r="W2" s="426"/>
      <c r="X2" s="426"/>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6"/>
      <c r="BU2" s="426"/>
      <c r="BV2" s="426"/>
      <c r="BW2" s="426"/>
      <c r="BX2" s="426"/>
      <c r="BY2" s="426"/>
      <c r="BZ2" s="426"/>
      <c r="CA2" s="426"/>
      <c r="CB2" s="426"/>
      <c r="CC2" s="426"/>
      <c r="IU2" s="427">
        <v>0</v>
      </c>
    </row>
    <row s="1646" customFormat="1" customHeight="1" ht="4.2">
      <c r="A3" s="500"/>
      <c r="D3" s="498"/>
      <c r="F3" s="251" t="s">
        <v>83</v>
      </c>
      <c r="G3" s="498" t="s">
        <v>84</v>
      </c>
      <c r="H3" s="498"/>
      <c r="I3" s="498"/>
      <c r="J3" s="231" t="s">
        <v>85</v>
      </c>
      <c r="K3" s="251" t="s">
        <v>83</v>
      </c>
      <c r="L3" s="251"/>
      <c r="M3" s="251"/>
      <c r="N3" s="251"/>
      <c r="O3" s="252"/>
      <c r="P3" s="251"/>
      <c r="Q3" s="251"/>
      <c r="R3" s="251"/>
      <c r="S3" s="251"/>
      <c r="T3" s="25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515">
        <v>4</v>
      </c>
    </row>
    <row s="1823" customFormat="1" customHeight="1" ht="14.699999999999998">
      <c r="A4" s="1159"/>
      <c r="B4" s="1164"/>
      <c r="C4" s="1159"/>
      <c r="D4" s="1499"/>
      <c r="E4" s="513"/>
      <c r="F4" s="1646"/>
      <c r="G4" s="513"/>
      <c r="H4" s="513"/>
      <c r="I4" s="513"/>
      <c r="J4" s="170"/>
      <c r="K4" s="251"/>
      <c r="L4" s="504"/>
      <c r="M4" s="504"/>
      <c r="N4" s="504"/>
      <c r="O4" s="230"/>
      <c r="P4" s="504"/>
      <c r="Q4" s="229"/>
      <c r="R4" s="229"/>
      <c r="S4" s="229"/>
      <c r="T4" s="229"/>
      <c r="IU4" s="511">
        <v>14</v>
      </c>
    </row>
    <row s="1823" customFormat="1" customHeight="1" ht="27.299999999999997">
      <c r="A5" s="1159"/>
      <c r="B5" s="1164"/>
      <c r="C5" s="1159"/>
      <c r="D5" s="1499"/>
      <c r="E5" s="21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4"/>
      <c r="G5" s="2104"/>
      <c r="H5" s="2104"/>
      <c r="I5" s="2104"/>
      <c r="J5" s="2104"/>
      <c r="K5" s="251"/>
      <c r="L5" s="504"/>
      <c r="M5" s="504"/>
      <c r="N5" s="504"/>
      <c r="O5" s="230"/>
      <c r="P5" s="504"/>
      <c r="Q5" s="229"/>
      <c r="R5" s="229"/>
      <c r="S5" s="229"/>
      <c r="T5" s="229"/>
      <c r="IU5" s="511">
        <v>26</v>
      </c>
    </row>
    <row s="1823" customFormat="1" customHeight="1" ht="14.699999999999998">
      <c r="A6" s="1159"/>
      <c r="B6" s="1164"/>
      <c r="C6" s="1159"/>
      <c r="D6" s="1499"/>
      <c r="E6" s="513"/>
      <c r="F6" s="171"/>
      <c r="G6" s="171"/>
      <c r="H6" s="171"/>
      <c r="I6" s="171"/>
      <c r="J6" s="172"/>
      <c r="K6" s="504"/>
      <c r="L6" s="504"/>
      <c r="M6" s="504"/>
      <c r="N6" s="504"/>
      <c r="O6" s="230"/>
      <c r="P6" s="504"/>
      <c r="Q6" s="229"/>
      <c r="R6" s="229"/>
      <c r="S6" s="229"/>
      <c r="T6" s="229"/>
      <c r="IU6" s="511">
        <v>14</v>
      </c>
    </row>
    <row s="1823" customFormat="1" customHeight="1" ht="14.699999999999998">
      <c r="A7" s="1159"/>
      <c r="B7" s="1164"/>
      <c r="C7" s="1159"/>
      <c r="D7" s="1499"/>
      <c r="E7" s="2105" t="s">
        <v>318</v>
      </c>
      <c r="F7" s="2106"/>
      <c r="G7" s="2106"/>
      <c r="H7" s="2106"/>
      <c r="I7" s="2106"/>
      <c r="J7" s="2478" t="s">
        <v>319</v>
      </c>
      <c r="K7" s="504"/>
      <c r="L7" s="504"/>
      <c r="M7" s="504"/>
      <c r="N7" s="504"/>
      <c r="O7" s="230"/>
      <c r="P7" s="504"/>
      <c r="Q7" s="229"/>
      <c r="R7" s="229"/>
      <c r="S7" s="229"/>
      <c r="T7" s="229"/>
      <c r="IU7" s="511">
        <v>14</v>
      </c>
    </row>
    <row s="1823" customFormat="1" customHeight="1" ht="21">
      <c r="A8" s="1159"/>
      <c r="B8" s="1164"/>
      <c r="C8" s="1159"/>
      <c r="D8" s="1499"/>
      <c r="E8" s="1552" t="s">
        <v>88</v>
      </c>
      <c r="F8" s="1544" t="s">
        <v>2166</v>
      </c>
      <c r="G8" s="1544" t="s">
        <v>47</v>
      </c>
      <c r="H8" s="1544" t="s">
        <v>49</v>
      </c>
      <c r="I8" s="1544" t="s">
        <v>2167</v>
      </c>
      <c r="J8" s="2479"/>
      <c r="K8" s="504"/>
      <c r="L8" s="504"/>
      <c r="M8" s="504"/>
      <c r="N8" s="504"/>
      <c r="O8" s="230"/>
      <c r="P8" s="504"/>
      <c r="Q8" s="229"/>
      <c r="R8" s="229"/>
      <c r="S8" s="229"/>
      <c r="T8" s="229"/>
      <c r="IU8" s="511">
        <v>20</v>
      </c>
    </row>
    <row s="1854" customFormat="1" customHeight="1" ht="23.25">
      <c r="A9" s="1635"/>
      <c r="B9" s="1164">
        <v>1</v>
      </c>
      <c r="C9" s="1164"/>
      <c r="D9" s="805"/>
      <c r="E9" s="1488">
        <v>1</v>
      </c>
      <c r="F9" s="1551"/>
      <c r="G9" s="1495"/>
      <c r="H9" s="1495"/>
      <c r="I9" s="1542"/>
      <c r="J9" s="217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9"/>
      <c r="L9" s="515"/>
      <c r="M9" s="515"/>
      <c r="N9" s="504" t="str">
        <f t="array" ref="N9:N9">IF(ISERROR(MATCH(MID(O9,1,250),MID(note_ter,1,250),0)),"n","y")</f>
        <v>n</v>
      </c>
      <c r="O9" s="515"/>
      <c r="P9" s="50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4"/>
      <c r="R9" s="1164"/>
      <c r="S9" s="424"/>
      <c r="T9" s="1164"/>
      <c r="U9" s="1164"/>
      <c r="V9" s="1164"/>
      <c r="W9" s="426"/>
      <c r="X9" s="426"/>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6"/>
      <c r="BU9" s="426"/>
      <c r="BV9" s="426"/>
      <c r="BW9" s="426"/>
      <c r="BX9" s="426"/>
      <c r="BY9" s="426"/>
      <c r="BZ9" s="426"/>
      <c r="CA9" s="426"/>
      <c r="CB9" s="426"/>
      <c r="CC9" s="426"/>
      <c r="IU9" s="427">
        <v>22</v>
      </c>
    </row>
    <row s="1854" customFormat="1" customHeight="1" ht="15.75">
      <c r="A10" s="1635"/>
      <c r="B10" s="1164"/>
      <c r="C10" s="416"/>
      <c r="D10" s="805"/>
      <c r="E10" s="1545"/>
      <c r="F10" s="1504" t="s">
        <v>2168</v>
      </c>
      <c r="G10" s="1546"/>
      <c r="H10" s="1546"/>
      <c r="I10" s="1903"/>
      <c r="J10" s="2175"/>
      <c r="K10" s="1540"/>
      <c r="L10" s="515"/>
      <c r="M10" s="515"/>
      <c r="N10" s="515"/>
      <c r="O10" s="504"/>
      <c r="P10" s="515"/>
      <c r="Q10" s="1164"/>
      <c r="R10" s="1164"/>
      <c r="S10" s="424"/>
      <c r="T10" s="1164"/>
      <c r="U10" s="1164"/>
      <c r="V10" s="1164"/>
      <c r="W10" s="426"/>
      <c r="X10" s="426"/>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6"/>
      <c r="BU10" s="426"/>
      <c r="BV10" s="426"/>
      <c r="BW10" s="426"/>
      <c r="BX10" s="426"/>
      <c r="BY10" s="426"/>
      <c r="BZ10" s="426"/>
      <c r="CA10" s="426"/>
      <c r="CB10" s="426"/>
      <c r="CC10" s="426"/>
      <c r="IU10" s="427">
        <v>15</v>
      </c>
    </row>
    <row s="1823" customFormat="1" customHeight="1" ht="22.049999999999997">
      <c r="A11" s="1159"/>
      <c r="B11" s="1164"/>
      <c r="C11" s="1159"/>
      <c r="D11" s="455"/>
      <c r="E11" s="184"/>
      <c r="F11" s="184"/>
      <c r="G11" s="184"/>
      <c r="H11" s="184"/>
      <c r="I11" s="184"/>
      <c r="J11" s="184"/>
      <c r="K11" s="504"/>
      <c r="L11" s="504"/>
      <c r="M11" s="504"/>
      <c r="N11" s="504"/>
      <c r="O11" s="230"/>
      <c r="P11" s="504"/>
      <c r="Q11" s="229"/>
      <c r="R11" s="229"/>
      <c r="S11" s="229"/>
      <c r="T11" s="229"/>
      <c r="IU11" s="511">
        <v>21</v>
      </c>
    </row>
    <row s="1823" customFormat="1" customHeight="1" ht="14.699999999999998">
      <c r="A12" s="1159"/>
      <c r="B12" s="1164"/>
      <c r="C12" s="1159"/>
      <c r="D12" s="455"/>
      <c r="E12" s="1159"/>
      <c r="F12" s="1159"/>
      <c r="G12" s="1159"/>
      <c r="H12" s="1159"/>
      <c r="I12" s="1159"/>
      <c r="J12" s="1159"/>
      <c r="K12" s="504"/>
      <c r="L12" s="504"/>
      <c r="M12" s="504"/>
      <c r="N12" s="504"/>
      <c r="O12" s="230"/>
      <c r="P12" s="504"/>
      <c r="Q12" s="229"/>
      <c r="R12" s="229"/>
      <c r="S12" s="229"/>
      <c r="T12" s="229"/>
      <c r="IU12" s="511">
        <v>14</v>
      </c>
    </row>
    <row s="1823" customFormat="1" customHeight="1" ht="1.05">
      <c r="A13" s="1159"/>
      <c r="B13" s="1164"/>
      <c r="C13" s="1159"/>
      <c r="D13" s="455"/>
      <c r="E13" s="1159"/>
      <c r="F13" s="1159"/>
      <c r="G13" s="1159"/>
      <c r="H13" s="1159"/>
      <c r="I13" s="1159"/>
      <c r="J13" s="1159"/>
      <c r="K13" s="504"/>
      <c r="L13" s="504"/>
      <c r="M13" s="504"/>
      <c r="N13" s="504"/>
      <c r="O13" s="230"/>
      <c r="P13" s="504"/>
      <c r="Q13" s="229"/>
      <c r="R13" s="229"/>
      <c r="S13" s="229"/>
      <c r="T13" s="229"/>
      <c r="IU13" s="511">
        <v>1</v>
      </c>
    </row>
    <row s="1068" customFormat="1" customHeight="1" ht="10.5">
      <c r="B14" s="838"/>
      <c r="D14" s="186"/>
      <c r="K14" s="504"/>
      <c r="L14" s="504"/>
      <c r="M14" s="504"/>
      <c r="N14" s="504"/>
      <c r="O14" s="230"/>
      <c r="P14" s="504"/>
      <c r="Q14" s="229"/>
      <c r="R14" s="229"/>
      <c r="S14" s="229"/>
      <c r="T14" s="229"/>
      <c r="IU14" s="185">
        <v>10</v>
      </c>
    </row>
    <row s="1068" customFormat="1" customHeight="1" ht="10.5">
      <c r="B15" s="838"/>
      <c r="D15" s="186"/>
      <c r="K15" s="504"/>
      <c r="L15" s="504"/>
      <c r="M15" s="504"/>
      <c r="N15" s="504"/>
      <c r="O15" s="230"/>
      <c r="P15" s="504"/>
      <c r="Q15" s="229"/>
      <c r="R15" s="229"/>
      <c r="S15" s="229"/>
      <c r="T15" s="229"/>
      <c r="IU15" s="185">
        <v>10</v>
      </c>
    </row>
    <row customHeight="1" ht="14.699999999999998">
      <c r="IU16" s="1159">
        <v>14</v>
      </c>
    </row>
    <row customHeight="1" ht="14.699999999999998">
      <c r="IU17" s="1159">
        <v>14</v>
      </c>
    </row>
    <row customHeight="1" ht="14.699999999999998">
      <c r="IU18" s="1159">
        <v>14</v>
      </c>
    </row>
    <row customHeight="1" ht="14.699999999999998">
      <c r="G19" s="377"/>
      <c r="H19" s="377"/>
      <c r="I19" s="377"/>
      <c r="IU19" s="1159">
        <v>14</v>
      </c>
    </row>
    <row customHeight="1" ht="14.699999999999998">
      <c r="IU20" s="1159">
        <v>14</v>
      </c>
    </row>
    <row customHeight="1" ht="14.699999999999998">
      <c r="IU21" s="1159">
        <v>14</v>
      </c>
    </row>
    <row customHeight="1" ht="14.699999999999998">
      <c r="IU22" s="1159">
        <v>14</v>
      </c>
    </row>
    <row customHeight="1" ht="14.699999999999998">
      <c r="K23" s="1159"/>
      <c r="L23" s="1159"/>
      <c r="M23" s="1159"/>
      <c r="IU23" s="1159">
        <v>14</v>
      </c>
    </row>
    <row customHeight="1" ht="22.5" hidden="1">
      <c r="A24" s="1159" t="s">
        <v>82</v>
      </c>
      <c r="B24" s="1164">
        <v>0</v>
      </c>
      <c r="C24" s="1159">
        <v>0</v>
      </c>
      <c r="D24" s="455">
        <v>3</v>
      </c>
      <c r="E24" s="1159">
        <v>6</v>
      </c>
      <c r="F24" s="1159">
        <v>46</v>
      </c>
      <c r="G24" s="1159">
        <v>16</v>
      </c>
      <c r="H24" s="1159">
        <v>16</v>
      </c>
      <c r="I24" s="1159">
        <v>35</v>
      </c>
      <c r="J24" s="1159">
        <v>89</v>
      </c>
      <c r="K24" s="504">
        <v>3</v>
      </c>
      <c r="L24" s="504">
        <v>8</v>
      </c>
      <c r="M24" s="504">
        <v>8</v>
      </c>
      <c r="N24" s="504">
        <v>8</v>
      </c>
      <c r="O24" s="230">
        <v>25</v>
      </c>
      <c r="P24" s="504">
        <v>14</v>
      </c>
      <c r="Q24" s="229">
        <v>8</v>
      </c>
      <c r="R24" s="229">
        <v>8</v>
      </c>
      <c r="S24" s="229">
        <v>8</v>
      </c>
      <c r="T24" s="229">
        <v>8</v>
      </c>
      <c r="U24" s="1159">
        <v>8</v>
      </c>
      <c r="V24" s="1159">
        <v>8</v>
      </c>
      <c r="W24" s="1159">
        <v>8</v>
      </c>
      <c r="X24" s="1159">
        <v>8</v>
      </c>
      <c r="Y24" s="1159">
        <v>8</v>
      </c>
      <c r="Z24" s="1159">
        <v>8</v>
      </c>
      <c r="AA24" s="1159">
        <v>8</v>
      </c>
      <c r="AB24" s="1159">
        <v>8</v>
      </c>
      <c r="AC24" s="1159">
        <v>8</v>
      </c>
      <c r="AD24" s="1159">
        <v>8</v>
      </c>
      <c r="AE24" s="1159">
        <v>8</v>
      </c>
      <c r="AF24" s="1159">
        <v>8</v>
      </c>
      <c r="AG24" s="1159">
        <v>8</v>
      </c>
      <c r="AH24" s="1159">
        <v>8</v>
      </c>
      <c r="AI24" s="1159">
        <v>8</v>
      </c>
      <c r="AJ24" s="1159">
        <v>8</v>
      </c>
      <c r="AK24" s="1159">
        <v>8</v>
      </c>
      <c r="AL24" s="1159">
        <v>8</v>
      </c>
      <c r="AM24" s="1159">
        <v>8</v>
      </c>
      <c r="AN24" s="1159">
        <v>8</v>
      </c>
      <c r="AO24" s="1159">
        <v>8</v>
      </c>
      <c r="AP24" s="1159">
        <v>8</v>
      </c>
      <c r="AQ24" s="1159">
        <v>8</v>
      </c>
      <c r="AR24" s="1159">
        <v>8</v>
      </c>
      <c r="AS24" s="1159">
        <v>8</v>
      </c>
      <c r="AT24" s="1159">
        <v>8</v>
      </c>
      <c r="AU24" s="1159">
        <v>8</v>
      </c>
      <c r="AV24" s="1159">
        <v>8</v>
      </c>
      <c r="AW24" s="1159">
        <v>8</v>
      </c>
      <c r="AX24" s="1159">
        <v>8</v>
      </c>
      <c r="AY24" s="1159">
        <v>8</v>
      </c>
      <c r="AZ24" s="1159">
        <v>8</v>
      </c>
      <c r="BA24" s="1159">
        <v>8</v>
      </c>
      <c r="BB24" s="1159">
        <v>8</v>
      </c>
      <c r="BC24" s="1159">
        <v>8</v>
      </c>
      <c r="BD24" s="1159">
        <v>8</v>
      </c>
      <c r="BE24" s="1159">
        <v>8</v>
      </c>
      <c r="BF24" s="1159">
        <v>8</v>
      </c>
      <c r="BG24" s="1159">
        <v>8</v>
      </c>
      <c r="BH24" s="1159">
        <v>8</v>
      </c>
      <c r="BI24" s="1159">
        <v>8</v>
      </c>
      <c r="BJ24" s="1159">
        <v>8</v>
      </c>
      <c r="BK24" s="1159">
        <v>8</v>
      </c>
      <c r="BL24" s="1159">
        <v>8</v>
      </c>
      <c r="BM24" s="1159">
        <v>8</v>
      </c>
      <c r="BN24" s="1159">
        <v>8</v>
      </c>
      <c r="BO24" s="1159">
        <v>8</v>
      </c>
      <c r="BP24" s="1159">
        <v>8</v>
      </c>
      <c r="BQ24" s="1159">
        <v>8</v>
      </c>
      <c r="BR24" s="1159">
        <v>8</v>
      </c>
      <c r="BS24" s="1159">
        <v>8</v>
      </c>
      <c r="BT24" s="1159">
        <v>8</v>
      </c>
      <c r="BU24" s="1159">
        <v>8</v>
      </c>
      <c r="BV24" s="1159">
        <v>8</v>
      </c>
      <c r="BW24" s="1159">
        <v>8</v>
      </c>
      <c r="BX24" s="1159">
        <v>8</v>
      </c>
      <c r="BY24" s="1159">
        <v>8</v>
      </c>
      <c r="BZ24" s="1159">
        <v>8</v>
      </c>
      <c r="CA24" s="1159">
        <v>8</v>
      </c>
      <c r="CB24" s="1159">
        <v>8</v>
      </c>
      <c r="CC24" s="1159">
        <v>8</v>
      </c>
      <c r="CD24" s="1159">
        <v>8</v>
      </c>
      <c r="CE24" s="1159">
        <v>8</v>
      </c>
      <c r="CF24" s="1159">
        <v>8</v>
      </c>
      <c r="CG24" s="1159">
        <v>8</v>
      </c>
      <c r="CH24" s="1159">
        <v>8</v>
      </c>
      <c r="CI24" s="1159">
        <v>8</v>
      </c>
      <c r="CJ24" s="1159">
        <v>8</v>
      </c>
      <c r="CK24" s="1159">
        <v>8</v>
      </c>
      <c r="CL24" s="1159">
        <v>8</v>
      </c>
      <c r="CM24" s="1159">
        <v>8</v>
      </c>
      <c r="CN24" s="1159">
        <v>8</v>
      </c>
      <c r="CO24" s="1159">
        <v>8</v>
      </c>
      <c r="CP24" s="1159">
        <v>8</v>
      </c>
      <c r="CQ24" s="1159">
        <v>8</v>
      </c>
      <c r="CR24" s="1159">
        <v>8</v>
      </c>
      <c r="CS24" s="1159">
        <v>8</v>
      </c>
      <c r="CT24" s="1159">
        <v>8</v>
      </c>
      <c r="CU24" s="1159">
        <v>8</v>
      </c>
      <c r="CV24" s="1159">
        <v>8</v>
      </c>
      <c r="CW24" s="1159">
        <v>8</v>
      </c>
      <c r="CX24" s="1159">
        <v>8</v>
      </c>
      <c r="CY24" s="1159">
        <v>8</v>
      </c>
      <c r="CZ24" s="1159">
        <v>8</v>
      </c>
      <c r="DA24" s="1159">
        <v>8</v>
      </c>
      <c r="DB24" s="1159">
        <v>8</v>
      </c>
      <c r="DC24" s="1159">
        <v>8</v>
      </c>
      <c r="DD24" s="1159">
        <v>8</v>
      </c>
      <c r="DE24" s="1159">
        <v>8</v>
      </c>
      <c r="DF24" s="1159">
        <v>8</v>
      </c>
      <c r="DG24" s="1159">
        <v>8</v>
      </c>
      <c r="DH24" s="1159">
        <v>8</v>
      </c>
      <c r="DI24" s="1159">
        <v>8</v>
      </c>
      <c r="DJ24" s="1159">
        <v>8</v>
      </c>
      <c r="DK24" s="1159">
        <v>8</v>
      </c>
      <c r="DL24" s="1159">
        <v>8</v>
      </c>
      <c r="DM24" s="1159">
        <v>8</v>
      </c>
      <c r="DN24" s="1159">
        <v>8</v>
      </c>
      <c r="DO24" s="1159">
        <v>8</v>
      </c>
      <c r="DP24" s="1159">
        <v>8</v>
      </c>
      <c r="DQ24" s="1159">
        <v>8</v>
      </c>
      <c r="DR24" s="1159">
        <v>8</v>
      </c>
      <c r="DS24" s="1159">
        <v>8</v>
      </c>
      <c r="DT24" s="1159">
        <v>8</v>
      </c>
      <c r="DU24" s="1159">
        <v>8</v>
      </c>
      <c r="DV24" s="1159">
        <v>8</v>
      </c>
      <c r="DW24" s="1159">
        <v>8</v>
      </c>
      <c r="DX24" s="1159">
        <v>8</v>
      </c>
      <c r="DY24" s="1159">
        <v>8</v>
      </c>
      <c r="DZ24" s="1159">
        <v>8</v>
      </c>
      <c r="EA24" s="1159">
        <v>8</v>
      </c>
      <c r="EB24" s="1159">
        <v>8</v>
      </c>
      <c r="EC24" s="1159">
        <v>8</v>
      </c>
      <c r="ED24" s="1159">
        <v>8</v>
      </c>
      <c r="EE24" s="1159">
        <v>8</v>
      </c>
      <c r="EF24" s="1159">
        <v>8</v>
      </c>
      <c r="EG24" s="1159">
        <v>8</v>
      </c>
      <c r="EH24" s="1159">
        <v>8</v>
      </c>
      <c r="EI24" s="1159">
        <v>8</v>
      </c>
      <c r="EJ24" s="1159">
        <v>8</v>
      </c>
      <c r="EK24" s="1159">
        <v>8</v>
      </c>
      <c r="EL24" s="1159">
        <v>8</v>
      </c>
      <c r="EM24" s="1159">
        <v>8</v>
      </c>
      <c r="EN24" s="1159">
        <v>8</v>
      </c>
      <c r="EO24" s="1159">
        <v>8</v>
      </c>
      <c r="EP24" s="1159">
        <v>8</v>
      </c>
      <c r="EQ24" s="1159">
        <v>8</v>
      </c>
      <c r="ER24" s="1159">
        <v>8</v>
      </c>
      <c r="ES24" s="1159">
        <v>8</v>
      </c>
      <c r="ET24" s="1159">
        <v>8</v>
      </c>
      <c r="EU24" s="1159">
        <v>8</v>
      </c>
      <c r="EV24" s="1159">
        <v>8</v>
      </c>
      <c r="EW24" s="1159">
        <v>8</v>
      </c>
      <c r="EX24" s="1159">
        <v>8</v>
      </c>
      <c r="EY24" s="1159">
        <v>8</v>
      </c>
      <c r="EZ24" s="1159">
        <v>8</v>
      </c>
      <c r="FA24" s="1159">
        <v>8</v>
      </c>
      <c r="FB24" s="1159">
        <v>8</v>
      </c>
      <c r="FC24" s="1159">
        <v>8</v>
      </c>
      <c r="FD24" s="1159">
        <v>8</v>
      </c>
      <c r="FE24" s="1159">
        <v>8</v>
      </c>
      <c r="FF24" s="1159">
        <v>8</v>
      </c>
      <c r="FG24" s="1159">
        <v>8</v>
      </c>
      <c r="FH24" s="1159">
        <v>8</v>
      </c>
      <c r="FI24" s="1159">
        <v>8</v>
      </c>
      <c r="FJ24" s="1159">
        <v>8</v>
      </c>
      <c r="FK24" s="1159">
        <v>8</v>
      </c>
      <c r="FL24" s="1159">
        <v>8</v>
      </c>
      <c r="FM24" s="1159">
        <v>8</v>
      </c>
      <c r="FN24" s="1159">
        <v>8</v>
      </c>
      <c r="FO24" s="1159">
        <v>8</v>
      </c>
      <c r="FP24" s="1159">
        <v>8</v>
      </c>
      <c r="FQ24" s="1159">
        <v>8</v>
      </c>
      <c r="FR24" s="1159">
        <v>8</v>
      </c>
      <c r="FS24" s="1159">
        <v>8</v>
      </c>
      <c r="FT24" s="1159">
        <v>8</v>
      </c>
      <c r="FU24" s="1159">
        <v>8</v>
      </c>
      <c r="FV24" s="1159">
        <v>8</v>
      </c>
      <c r="FW24" s="1159">
        <v>8</v>
      </c>
      <c r="FX24" s="1159">
        <v>8</v>
      </c>
      <c r="FY24" s="1159">
        <v>8</v>
      </c>
      <c r="FZ24" s="1159">
        <v>8</v>
      </c>
      <c r="GA24" s="1159">
        <v>8</v>
      </c>
      <c r="GB24" s="1159">
        <v>8</v>
      </c>
      <c r="GC24" s="1159">
        <v>8</v>
      </c>
      <c r="GD24" s="1159">
        <v>8</v>
      </c>
      <c r="GE24" s="1159">
        <v>8</v>
      </c>
      <c r="GF24" s="1159">
        <v>8</v>
      </c>
      <c r="GG24" s="1159">
        <v>8</v>
      </c>
      <c r="GH24" s="1159">
        <v>8</v>
      </c>
      <c r="GI24" s="1159">
        <v>8</v>
      </c>
      <c r="GJ24" s="1159">
        <v>8</v>
      </c>
      <c r="GK24" s="1159">
        <v>8</v>
      </c>
      <c r="GL24" s="1159">
        <v>8</v>
      </c>
      <c r="GM24" s="1159">
        <v>8</v>
      </c>
      <c r="GN24" s="1159">
        <v>8</v>
      </c>
      <c r="GO24" s="1159">
        <v>8</v>
      </c>
      <c r="GP24" s="1159">
        <v>8</v>
      </c>
      <c r="GQ24" s="1159">
        <v>8</v>
      </c>
      <c r="GR24" s="1159">
        <v>8</v>
      </c>
      <c r="GS24" s="1159">
        <v>8</v>
      </c>
      <c r="GT24" s="1159">
        <v>8</v>
      </c>
      <c r="GU24" s="1159">
        <v>8</v>
      </c>
      <c r="GV24" s="1159">
        <v>8</v>
      </c>
      <c r="GW24" s="1159">
        <v>8</v>
      </c>
      <c r="GX24" s="1159">
        <v>8</v>
      </c>
      <c r="GY24" s="1159">
        <v>8</v>
      </c>
      <c r="GZ24" s="1159">
        <v>8</v>
      </c>
      <c r="HA24" s="1159">
        <v>8</v>
      </c>
      <c r="HB24" s="1159">
        <v>8</v>
      </c>
      <c r="HC24" s="1159">
        <v>8</v>
      </c>
      <c r="HD24" s="1159">
        <v>8</v>
      </c>
      <c r="HE24" s="1159">
        <v>8</v>
      </c>
      <c r="HF24" s="1159">
        <v>8</v>
      </c>
      <c r="HG24" s="1159">
        <v>8</v>
      </c>
      <c r="HH24" s="1159">
        <v>8</v>
      </c>
      <c r="HI24" s="1159">
        <v>8</v>
      </c>
      <c r="HJ24" s="1159">
        <v>8</v>
      </c>
      <c r="HK24" s="1159">
        <v>8</v>
      </c>
      <c r="HL24" s="1159">
        <v>8</v>
      </c>
      <c r="HM24" s="1159">
        <v>8</v>
      </c>
      <c r="HN24" s="1159">
        <v>8</v>
      </c>
      <c r="HO24" s="1159">
        <v>8</v>
      </c>
      <c r="HP24" s="1159">
        <v>8</v>
      </c>
      <c r="HQ24" s="1159">
        <v>8</v>
      </c>
      <c r="HR24" s="1159">
        <v>8</v>
      </c>
      <c r="HS24" s="1159">
        <v>8</v>
      </c>
      <c r="HT24" s="1159">
        <v>8</v>
      </c>
      <c r="HU24" s="1159">
        <v>8</v>
      </c>
      <c r="HV24" s="1159">
        <v>8</v>
      </c>
      <c r="HW24" s="1159">
        <v>8</v>
      </c>
      <c r="HX24" s="1159">
        <v>8</v>
      </c>
      <c r="HY24" s="1159">
        <v>8</v>
      </c>
      <c r="HZ24" s="1159">
        <v>8</v>
      </c>
      <c r="IA24" s="1159">
        <v>8</v>
      </c>
      <c r="IB24" s="1159">
        <v>8</v>
      </c>
      <c r="IC24" s="1159">
        <v>8</v>
      </c>
      <c r="ID24" s="1159">
        <v>8</v>
      </c>
      <c r="IE24" s="1159">
        <v>8</v>
      </c>
      <c r="IF24" s="1159">
        <v>8</v>
      </c>
      <c r="IG24" s="1159">
        <v>8</v>
      </c>
      <c r="IH24" s="1159">
        <v>8</v>
      </c>
      <c r="II24" s="1159">
        <v>8</v>
      </c>
      <c r="IJ24" s="1159">
        <v>8</v>
      </c>
      <c r="IK24" s="1159">
        <v>8</v>
      </c>
      <c r="IL24" s="1159">
        <v>8</v>
      </c>
      <c r="IM24" s="1159">
        <v>8</v>
      </c>
      <c r="IN24" s="1159">
        <v>8</v>
      </c>
      <c r="IO24" s="1159">
        <v>8</v>
      </c>
      <c r="IP24" s="1159">
        <v>8</v>
      </c>
      <c r="IQ24" s="1159">
        <v>8</v>
      </c>
      <c r="IR24" s="1159">
        <v>8</v>
      </c>
      <c r="IS24" s="1159">
        <v>8</v>
      </c>
      <c r="IT24" s="1159">
        <v>8</v>
      </c>
      <c r="IU24" s="115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5785AD-E6F2-58DB-14A6-B13EB3C5670F}"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159" t="s">
        <v>14</v>
      </c>
    </row>
    <row s="1854" customFormat="1" customHeight="1" ht="22.5" hidden="1">
      <c r="A2" s="835"/>
      <c r="B2" s="1164">
        <v>1</v>
      </c>
      <c r="C2" s="1164"/>
      <c r="D2" s="1932" t="s">
        <v>104</v>
      </c>
      <c r="E2" s="1893"/>
      <c r="F2" s="1896" t="str">
        <f>IF(ROIV_INFO_NAME="","",ROIV_INFO_NAME)</f>
        <v>АО "Теплоэнерго"</v>
      </c>
      <c r="G2" s="1921" t="s">
        <v>22</v>
      </c>
      <c r="H2" s="1920"/>
      <c r="I2" s="1542"/>
      <c r="J2" s="822"/>
      <c r="K2" s="822"/>
      <c r="L2" s="232"/>
      <c r="M2" s="1539">
        <f>MERGEVALUE(F2)</f>
      </c>
      <c r="N2" s="515"/>
      <c r="O2" s="515"/>
      <c r="P2" s="504" t="str">
        <f t="array" ref="P2:P2">IF(ISERROR(MATCH(MID(Q2,1,250),MID(note_ter,1,250),0)),"n","y")</f>
        <v>n</v>
      </c>
      <c r="Q2" s="515"/>
      <c r="R2" s="504" t="str">
        <f>G2&amp;"("&amp;L2&amp;")"</f>
        <v>()</v>
      </c>
      <c r="S2" s="1164"/>
      <c r="T2" s="1164"/>
      <c r="U2" s="424"/>
      <c r="V2" s="1164"/>
      <c r="W2" s="1164"/>
      <c r="X2" s="1164"/>
      <c r="Y2" s="426"/>
      <c r="Z2" s="426"/>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6"/>
      <c r="BW2" s="426"/>
      <c r="BX2" s="426"/>
      <c r="BY2" s="426"/>
      <c r="BZ2" s="426"/>
      <c r="CA2" s="426"/>
      <c r="CB2" s="426"/>
      <c r="CC2" s="426"/>
      <c r="CD2" s="426"/>
      <c r="CE2" s="426"/>
      <c r="IW2" s="427">
        <v>0</v>
      </c>
    </row>
    <row s="1646" customFormat="1" customHeight="1" ht="5.25" hidden="1">
      <c r="A3" s="500"/>
      <c r="D3" s="498"/>
      <c r="F3" s="251" t="s">
        <v>83</v>
      </c>
      <c r="G3" s="1739" t="s">
        <v>84</v>
      </c>
      <c r="H3" s="498"/>
      <c r="I3" s="498"/>
      <c r="J3" s="498"/>
      <c r="K3" s="498"/>
      <c r="L3" s="231" t="s">
        <v>85</v>
      </c>
      <c r="M3" s="251" t="s">
        <v>83</v>
      </c>
      <c r="N3" s="251"/>
      <c r="O3" s="251"/>
      <c r="P3" s="251"/>
      <c r="Q3" s="252"/>
      <c r="R3" s="251"/>
      <c r="S3" s="251"/>
      <c r="T3" s="251"/>
      <c r="U3" s="251"/>
      <c r="V3" s="25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515">
        <v>0</v>
      </c>
    </row>
    <row s="1823" customFormat="1" customHeight="1" ht="14.699999999999998">
      <c r="A4" s="1159"/>
      <c r="B4" s="1164"/>
      <c r="C4" s="1159"/>
      <c r="D4" s="1499"/>
      <c r="E4" s="513"/>
      <c r="F4" s="513"/>
      <c r="G4" s="513"/>
      <c r="H4" s="513"/>
      <c r="I4" s="513"/>
      <c r="J4" s="513"/>
      <c r="K4" s="513"/>
      <c r="L4" s="170"/>
      <c r="M4" s="251"/>
      <c r="N4" s="504"/>
      <c r="O4" s="504"/>
      <c r="P4" s="504"/>
      <c r="Q4" s="230"/>
      <c r="R4" s="504"/>
      <c r="S4" s="229"/>
      <c r="T4" s="229"/>
      <c r="U4" s="229"/>
      <c r="V4" s="229"/>
      <c r="IW4" s="511">
        <v>14</v>
      </c>
    </row>
    <row s="1823" customFormat="1" customHeight="1" ht="27.299999999999997">
      <c r="A5" s="1159"/>
      <c r="B5" s="1164"/>
      <c r="C5" s="1159"/>
      <c r="D5" s="1499"/>
      <c r="E5" s="210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4"/>
      <c r="G5" s="2104"/>
      <c r="H5" s="2104"/>
      <c r="I5" s="2104"/>
      <c r="J5" s="2104"/>
      <c r="K5" s="2104"/>
      <c r="L5" s="592"/>
      <c r="M5" s="251"/>
      <c r="N5" s="504"/>
      <c r="O5" s="504"/>
      <c r="P5" s="504"/>
      <c r="Q5" s="230"/>
      <c r="R5" s="504"/>
      <c r="S5" s="229"/>
      <c r="T5" s="229"/>
      <c r="U5" s="229"/>
      <c r="V5" s="229"/>
      <c r="IW5" s="511">
        <v>26</v>
      </c>
    </row>
    <row s="1823" customFormat="1" customHeight="1" ht="14.699999999999998">
      <c r="A6" s="1159"/>
      <c r="B6" s="1164"/>
      <c r="C6" s="1159"/>
      <c r="D6" s="1499"/>
      <c r="E6" s="513"/>
      <c r="F6" s="171"/>
      <c r="G6" s="171"/>
      <c r="H6" s="171"/>
      <c r="I6" s="171"/>
      <c r="J6" s="171"/>
      <c r="K6" s="171"/>
      <c r="L6" s="172"/>
      <c r="M6" s="504"/>
      <c r="N6" s="504"/>
      <c r="O6" s="504"/>
      <c r="P6" s="504"/>
      <c r="Q6" s="230"/>
      <c r="R6" s="504"/>
      <c r="S6" s="229"/>
      <c r="T6" s="229"/>
      <c r="U6" s="229"/>
      <c r="V6" s="229"/>
      <c r="IW6" s="511">
        <v>14</v>
      </c>
    </row>
    <row s="1823" customFormat="1" customHeight="1" ht="14.699999999999998">
      <c r="A7" s="1159"/>
      <c r="B7" s="1164"/>
      <c r="C7" s="1159"/>
      <c r="D7" s="1499"/>
      <c r="E7" s="2105" t="s">
        <v>318</v>
      </c>
      <c r="F7" s="2106"/>
      <c r="G7" s="2106"/>
      <c r="H7" s="2106"/>
      <c r="I7" s="2106"/>
      <c r="J7" s="2106"/>
      <c r="K7" s="2106"/>
      <c r="L7" s="2478" t="s">
        <v>319</v>
      </c>
      <c r="M7" s="504"/>
      <c r="N7" s="504"/>
      <c r="O7" s="504"/>
      <c r="P7" s="504"/>
      <c r="Q7" s="230"/>
      <c r="R7" s="504"/>
      <c r="S7" s="229"/>
      <c r="T7" s="229"/>
      <c r="U7" s="229"/>
      <c r="V7" s="229"/>
      <c r="IW7" s="511">
        <v>14</v>
      </c>
    </row>
    <row s="1823" customFormat="1" customHeight="1" ht="67.2">
      <c r="A8" s="1159"/>
      <c r="B8" s="1164"/>
      <c r="C8" s="1159"/>
      <c r="D8" s="1499"/>
      <c r="E8" s="2482" t="s">
        <v>88</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504"/>
      <c r="N8" s="504"/>
      <c r="O8" s="504"/>
      <c r="P8" s="504"/>
      <c r="Q8" s="230"/>
      <c r="R8" s="504"/>
      <c r="S8" s="229"/>
      <c r="T8" s="229"/>
      <c r="U8" s="229"/>
      <c r="V8" s="229"/>
      <c r="IW8" s="511">
        <v>64</v>
      </c>
    </row>
    <row s="1823" customFormat="1" customHeight="1" ht="29.25">
      <c r="A9" s="1159"/>
      <c r="B9" s="1164"/>
      <c r="C9" s="1159"/>
      <c r="D9" s="1499"/>
      <c r="E9" s="2483"/>
      <c r="F9" s="2483"/>
      <c r="G9" s="1541" t="s">
        <v>2169</v>
      </c>
      <c r="H9" s="1541" t="s">
        <v>2170</v>
      </c>
      <c r="I9" s="1541" t="s">
        <v>2171</v>
      </c>
      <c r="J9" s="2483"/>
      <c r="K9" s="2483"/>
      <c r="L9" s="2479"/>
      <c r="M9" s="504"/>
      <c r="N9" s="504"/>
      <c r="O9" s="504"/>
      <c r="P9" s="504"/>
      <c r="Q9" s="230"/>
      <c r="R9" s="504"/>
      <c r="S9" s="229"/>
      <c r="T9" s="229"/>
      <c r="U9" s="229"/>
      <c r="V9" s="229"/>
      <c r="IW9" s="511">
        <v>28</v>
      </c>
    </row>
    <row s="1854" customFormat="1" customHeight="1" ht="23.25">
      <c r="A10" s="2103"/>
      <c r="B10" s="1164">
        <v>1</v>
      </c>
      <c r="C10" s="1164"/>
      <c r="D10" s="804"/>
      <c r="E10" s="802">
        <v>1</v>
      </c>
      <c r="F10" s="1543" t="str">
        <f>IF(ROIV_INFO_NAME="","",ROIV_INFO_NAME)</f>
        <v>АО "Теплоэнерго"</v>
      </c>
      <c r="G10" s="1736" t="s">
        <v>22</v>
      </c>
      <c r="H10" s="1920"/>
      <c r="I10" s="1538"/>
      <c r="J10" s="822"/>
      <c r="K10" s="822"/>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515"/>
      <c r="O10" s="515"/>
      <c r="P10" s="504" t="str">
        <f t="array" ref="P10:P10">IF(ISERROR(MATCH(MID(Q10,1,250),MID(note_ter,1,250),0)),"n","y")</f>
        <v>n</v>
      </c>
      <c r="Q10" s="515"/>
      <c r="R10" s="50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4"/>
      <c r="T10" s="1164"/>
      <c r="U10" s="424"/>
      <c r="V10" s="1164"/>
      <c r="W10" s="1164"/>
      <c r="X10" s="1164"/>
      <c r="Y10" s="426"/>
      <c r="Z10" s="426"/>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6"/>
      <c r="BW10" s="426"/>
      <c r="BX10" s="426"/>
      <c r="BY10" s="426"/>
      <c r="BZ10" s="426"/>
      <c r="CA10" s="426"/>
      <c r="CB10" s="426"/>
      <c r="CC10" s="426"/>
      <c r="CD10" s="426"/>
      <c r="CE10" s="426"/>
      <c r="IW10" s="427">
        <v>22</v>
      </c>
    </row>
    <row s="1854" customFormat="1" customHeight="1" ht="15.75">
      <c r="A11" s="2103"/>
      <c r="B11" s="1164"/>
      <c r="C11" s="416"/>
      <c r="D11" s="805"/>
      <c r="E11" s="425"/>
      <c r="F11" s="420" t="s">
        <v>2172</v>
      </c>
      <c r="G11" s="191"/>
      <c r="H11" s="191"/>
      <c r="I11" s="191"/>
      <c r="J11" s="191"/>
      <c r="K11" s="428"/>
      <c r="L11" s="2481"/>
      <c r="M11" s="1540"/>
      <c r="N11" s="515"/>
      <c r="O11" s="515"/>
      <c r="P11" s="515"/>
      <c r="Q11" s="504"/>
      <c r="R11" s="515"/>
      <c r="S11" s="1164"/>
      <c r="T11" s="1164"/>
      <c r="U11" s="424"/>
      <c r="V11" s="1164"/>
      <c r="W11" s="1164"/>
      <c r="X11" s="1164"/>
      <c r="Y11" s="426"/>
      <c r="Z11" s="426"/>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6"/>
      <c r="BW11" s="426"/>
      <c r="BX11" s="426"/>
      <c r="BY11" s="426"/>
      <c r="BZ11" s="426"/>
      <c r="CA11" s="426"/>
      <c r="CB11" s="426"/>
      <c r="CC11" s="426"/>
      <c r="CD11" s="426"/>
      <c r="CE11" s="426"/>
      <c r="IW11" s="427">
        <v>15</v>
      </c>
    </row>
    <row s="1823" customFormat="1" customHeight="1" ht="22.049999999999997">
      <c r="A12" s="1159"/>
      <c r="B12" s="1164"/>
      <c r="C12" s="1159"/>
      <c r="D12" s="455"/>
      <c r="E12" s="184"/>
      <c r="F12" s="184"/>
      <c r="G12" s="184"/>
      <c r="H12" s="184"/>
      <c r="I12" s="184"/>
      <c r="J12" s="184"/>
      <c r="K12" s="184"/>
      <c r="L12" s="184"/>
      <c r="M12" s="504"/>
      <c r="N12" s="504"/>
      <c r="O12" s="504"/>
      <c r="P12" s="504"/>
      <c r="Q12" s="230"/>
      <c r="R12" s="504"/>
      <c r="S12" s="229"/>
      <c r="T12" s="229"/>
      <c r="U12" s="229"/>
      <c r="V12" s="229"/>
      <c r="IW12" s="511">
        <v>21</v>
      </c>
    </row>
    <row s="1823" customFormat="1" customHeight="1" ht="14.699999999999998">
      <c r="A13" s="1159"/>
      <c r="B13" s="1164"/>
      <c r="C13" s="1159"/>
      <c r="D13" s="455"/>
      <c r="E13" s="1159"/>
      <c r="F13" s="1159"/>
      <c r="G13" s="1159"/>
      <c r="H13" s="1159"/>
      <c r="I13" s="1159"/>
      <c r="J13" s="1159"/>
      <c r="K13" s="1159"/>
      <c r="L13" s="1159"/>
      <c r="M13" s="504"/>
      <c r="N13" s="504"/>
      <c r="O13" s="504"/>
      <c r="P13" s="504"/>
      <c r="Q13" s="230"/>
      <c r="R13" s="504"/>
      <c r="S13" s="229"/>
      <c r="T13" s="229"/>
      <c r="U13" s="229"/>
      <c r="V13" s="229"/>
      <c r="IW13" s="511">
        <v>14</v>
      </c>
    </row>
    <row s="1823" customFormat="1" customHeight="1" ht="1.05">
      <c r="A14" s="1159"/>
      <c r="B14" s="1164"/>
      <c r="C14" s="1159"/>
      <c r="D14" s="455"/>
      <c r="E14" s="1159"/>
      <c r="F14" s="1159"/>
      <c r="G14" s="1159"/>
      <c r="H14" s="1159"/>
      <c r="I14" s="1159"/>
      <c r="J14" s="1159"/>
      <c r="K14" s="1159"/>
      <c r="L14" s="1159"/>
      <c r="M14" s="504"/>
      <c r="N14" s="504"/>
      <c r="O14" s="504"/>
      <c r="P14" s="504"/>
      <c r="Q14" s="230"/>
      <c r="R14" s="504"/>
      <c r="S14" s="229"/>
      <c r="T14" s="229"/>
      <c r="U14" s="229"/>
      <c r="V14" s="229"/>
      <c r="IW14" s="511">
        <v>1</v>
      </c>
    </row>
    <row customHeight="1" ht="22.5" hidden="1">
      <c r="A15" s="1159" t="s">
        <v>82</v>
      </c>
      <c r="B15" s="1164">
        <v>0</v>
      </c>
      <c r="C15" s="1159">
        <v>0</v>
      </c>
      <c r="D15" s="455">
        <v>3</v>
      </c>
      <c r="E15" s="1159">
        <v>6</v>
      </c>
      <c r="F15" s="1159">
        <v>27</v>
      </c>
      <c r="G15" s="1159">
        <v>16</v>
      </c>
      <c r="H15" s="1159">
        <v>12</v>
      </c>
      <c r="I15" s="1159">
        <v>32</v>
      </c>
      <c r="J15" s="1159">
        <v>41</v>
      </c>
      <c r="K15" s="1159">
        <v>41</v>
      </c>
      <c r="L15" s="1159">
        <v>89</v>
      </c>
      <c r="M15" s="504">
        <v>3</v>
      </c>
      <c r="N15" s="504">
        <v>8</v>
      </c>
      <c r="O15" s="504">
        <v>8</v>
      </c>
      <c r="P15" s="504">
        <v>8</v>
      </c>
      <c r="Q15" s="230">
        <v>25</v>
      </c>
      <c r="R15" s="504">
        <v>14</v>
      </c>
      <c r="S15" s="229">
        <v>8</v>
      </c>
      <c r="T15" s="229">
        <v>8</v>
      </c>
      <c r="U15" s="229">
        <v>8</v>
      </c>
      <c r="V15" s="229">
        <v>8</v>
      </c>
      <c r="W15" s="1159">
        <v>8</v>
      </c>
      <c r="X15" s="1159">
        <v>8</v>
      </c>
      <c r="Y15" s="1159">
        <v>8</v>
      </c>
      <c r="Z15" s="1159">
        <v>8</v>
      </c>
      <c r="AA15" s="1159">
        <v>8</v>
      </c>
      <c r="AB15" s="1159">
        <v>8</v>
      </c>
      <c r="AC15" s="1159">
        <v>8</v>
      </c>
      <c r="AD15" s="1159">
        <v>8</v>
      </c>
      <c r="AE15" s="1159">
        <v>8</v>
      </c>
      <c r="AF15" s="1159">
        <v>8</v>
      </c>
      <c r="AG15" s="1159">
        <v>8</v>
      </c>
      <c r="AH15" s="1159">
        <v>8</v>
      </c>
      <c r="AI15" s="1159">
        <v>8</v>
      </c>
      <c r="AJ15" s="1159">
        <v>8</v>
      </c>
      <c r="AK15" s="1159">
        <v>8</v>
      </c>
      <c r="AL15" s="1159">
        <v>8</v>
      </c>
      <c r="AM15" s="1159">
        <v>8</v>
      </c>
      <c r="AN15" s="1159">
        <v>8</v>
      </c>
      <c r="AO15" s="1159">
        <v>8</v>
      </c>
      <c r="AP15" s="1159">
        <v>8</v>
      </c>
      <c r="AQ15" s="1159">
        <v>8</v>
      </c>
      <c r="AR15" s="1159">
        <v>8</v>
      </c>
      <c r="AS15" s="1159">
        <v>8</v>
      </c>
      <c r="AT15" s="1159">
        <v>8</v>
      </c>
      <c r="AU15" s="1159">
        <v>8</v>
      </c>
      <c r="AV15" s="1159">
        <v>8</v>
      </c>
      <c r="AW15" s="1159">
        <v>8</v>
      </c>
      <c r="AX15" s="1159">
        <v>8</v>
      </c>
      <c r="AY15" s="1159">
        <v>8</v>
      </c>
      <c r="AZ15" s="1159">
        <v>8</v>
      </c>
      <c r="BA15" s="1159">
        <v>8</v>
      </c>
      <c r="BB15" s="1159">
        <v>8</v>
      </c>
      <c r="BC15" s="1159">
        <v>8</v>
      </c>
      <c r="BD15" s="1159">
        <v>8</v>
      </c>
      <c r="BE15" s="1159">
        <v>8</v>
      </c>
      <c r="BF15" s="1159">
        <v>8</v>
      </c>
      <c r="BG15" s="1159">
        <v>8</v>
      </c>
      <c r="BH15" s="1159">
        <v>8</v>
      </c>
      <c r="BI15" s="1159">
        <v>8</v>
      </c>
      <c r="BJ15" s="1159">
        <v>8</v>
      </c>
      <c r="BK15" s="1159">
        <v>8</v>
      </c>
      <c r="BL15" s="1159">
        <v>8</v>
      </c>
      <c r="BM15" s="1159">
        <v>8</v>
      </c>
      <c r="BN15" s="1159">
        <v>8</v>
      </c>
      <c r="BO15" s="1159">
        <v>8</v>
      </c>
      <c r="BP15" s="1159">
        <v>8</v>
      </c>
      <c r="BQ15" s="1159">
        <v>8</v>
      </c>
      <c r="BR15" s="1159">
        <v>8</v>
      </c>
      <c r="BS15" s="1159">
        <v>8</v>
      </c>
      <c r="BT15" s="1159">
        <v>8</v>
      </c>
      <c r="BU15" s="1159">
        <v>8</v>
      </c>
      <c r="BV15" s="1159">
        <v>8</v>
      </c>
      <c r="BW15" s="1159">
        <v>8</v>
      </c>
      <c r="BX15" s="1159">
        <v>8</v>
      </c>
      <c r="BY15" s="1159">
        <v>8</v>
      </c>
      <c r="BZ15" s="1159">
        <v>8</v>
      </c>
      <c r="CA15" s="1159">
        <v>8</v>
      </c>
      <c r="CB15" s="1159">
        <v>8</v>
      </c>
      <c r="CC15" s="1159">
        <v>8</v>
      </c>
      <c r="CD15" s="1159">
        <v>8</v>
      </c>
      <c r="CE15" s="1159">
        <v>8</v>
      </c>
      <c r="CF15" s="1159">
        <v>8</v>
      </c>
      <c r="CG15" s="1159">
        <v>8</v>
      </c>
      <c r="CH15" s="1159">
        <v>8</v>
      </c>
      <c r="CI15" s="1159">
        <v>8</v>
      </c>
      <c r="CJ15" s="1159">
        <v>8</v>
      </c>
      <c r="CK15" s="1159">
        <v>8</v>
      </c>
      <c r="CL15" s="1159">
        <v>8</v>
      </c>
      <c r="CM15" s="1159">
        <v>8</v>
      </c>
      <c r="CN15" s="1159">
        <v>8</v>
      </c>
      <c r="CO15" s="1159">
        <v>8</v>
      </c>
      <c r="CP15" s="1159">
        <v>8</v>
      </c>
      <c r="CQ15" s="1159">
        <v>8</v>
      </c>
      <c r="CR15" s="1159">
        <v>8</v>
      </c>
      <c r="CS15" s="1159">
        <v>8</v>
      </c>
      <c r="CT15" s="1159">
        <v>8</v>
      </c>
      <c r="CU15" s="1159">
        <v>8</v>
      </c>
      <c r="CV15" s="1159">
        <v>8</v>
      </c>
      <c r="CW15" s="1159">
        <v>8</v>
      </c>
      <c r="CX15" s="1159">
        <v>8</v>
      </c>
      <c r="CY15" s="1159">
        <v>8</v>
      </c>
      <c r="CZ15" s="1159">
        <v>8</v>
      </c>
      <c r="DA15" s="1159">
        <v>8</v>
      </c>
      <c r="DB15" s="1159">
        <v>8</v>
      </c>
      <c r="DC15" s="1159">
        <v>8</v>
      </c>
      <c r="DD15" s="1159">
        <v>8</v>
      </c>
      <c r="DE15" s="1159">
        <v>8</v>
      </c>
      <c r="DF15" s="1159">
        <v>8</v>
      </c>
      <c r="DG15" s="1159">
        <v>8</v>
      </c>
      <c r="DH15" s="1159">
        <v>8</v>
      </c>
      <c r="DI15" s="1159">
        <v>8</v>
      </c>
      <c r="DJ15" s="1159">
        <v>8</v>
      </c>
      <c r="DK15" s="1159">
        <v>8</v>
      </c>
      <c r="DL15" s="1159">
        <v>8</v>
      </c>
      <c r="DM15" s="1159">
        <v>8</v>
      </c>
      <c r="DN15" s="1159">
        <v>8</v>
      </c>
      <c r="DO15" s="1159">
        <v>8</v>
      </c>
      <c r="DP15" s="1159">
        <v>8</v>
      </c>
      <c r="DQ15" s="1159">
        <v>8</v>
      </c>
      <c r="DR15" s="1159">
        <v>8</v>
      </c>
      <c r="DS15" s="1159">
        <v>8</v>
      </c>
      <c r="DT15" s="1159">
        <v>8</v>
      </c>
      <c r="DU15" s="1159">
        <v>8</v>
      </c>
      <c r="DV15" s="1159">
        <v>8</v>
      </c>
      <c r="DW15" s="1159">
        <v>8</v>
      </c>
      <c r="DX15" s="1159">
        <v>8</v>
      </c>
      <c r="DY15" s="1159">
        <v>8</v>
      </c>
      <c r="DZ15" s="1159">
        <v>8</v>
      </c>
      <c r="EA15" s="1159">
        <v>8</v>
      </c>
      <c r="EB15" s="1159">
        <v>8</v>
      </c>
      <c r="EC15" s="1159">
        <v>8</v>
      </c>
      <c r="ED15" s="1159">
        <v>8</v>
      </c>
      <c r="EE15" s="1159">
        <v>8</v>
      </c>
      <c r="EF15" s="1159">
        <v>8</v>
      </c>
      <c r="EG15" s="1159">
        <v>8</v>
      </c>
      <c r="EH15" s="1159">
        <v>8</v>
      </c>
      <c r="EI15" s="1159">
        <v>8</v>
      </c>
      <c r="EJ15" s="1159">
        <v>8</v>
      </c>
      <c r="EK15" s="1159">
        <v>8</v>
      </c>
      <c r="EL15" s="1159">
        <v>8</v>
      </c>
      <c r="EM15" s="1159">
        <v>8</v>
      </c>
      <c r="EN15" s="1159">
        <v>8</v>
      </c>
      <c r="EO15" s="1159">
        <v>8</v>
      </c>
      <c r="EP15" s="1159">
        <v>8</v>
      </c>
      <c r="EQ15" s="1159">
        <v>8</v>
      </c>
      <c r="ER15" s="1159">
        <v>8</v>
      </c>
      <c r="ES15" s="1159">
        <v>8</v>
      </c>
      <c r="ET15" s="1159">
        <v>8</v>
      </c>
      <c r="EU15" s="1159">
        <v>8</v>
      </c>
      <c r="EV15" s="1159">
        <v>8</v>
      </c>
      <c r="EW15" s="1159">
        <v>8</v>
      </c>
      <c r="EX15" s="1159">
        <v>8</v>
      </c>
      <c r="EY15" s="1159">
        <v>8</v>
      </c>
      <c r="EZ15" s="1159">
        <v>8</v>
      </c>
      <c r="FA15" s="1159">
        <v>8</v>
      </c>
      <c r="FB15" s="1159">
        <v>8</v>
      </c>
      <c r="FC15" s="1159">
        <v>8</v>
      </c>
      <c r="FD15" s="1159">
        <v>8</v>
      </c>
      <c r="FE15" s="1159">
        <v>8</v>
      </c>
      <c r="FF15" s="1159">
        <v>8</v>
      </c>
      <c r="FG15" s="1159">
        <v>8</v>
      </c>
      <c r="FH15" s="1159">
        <v>8</v>
      </c>
      <c r="FI15" s="1159">
        <v>8</v>
      </c>
      <c r="FJ15" s="1159">
        <v>8</v>
      </c>
      <c r="FK15" s="1159">
        <v>8</v>
      </c>
      <c r="FL15" s="1159">
        <v>8</v>
      </c>
      <c r="FM15" s="1159">
        <v>8</v>
      </c>
      <c r="FN15" s="1159">
        <v>8</v>
      </c>
      <c r="FO15" s="1159">
        <v>8</v>
      </c>
      <c r="FP15" s="1159">
        <v>8</v>
      </c>
      <c r="FQ15" s="1159">
        <v>8</v>
      </c>
      <c r="FR15" s="1159">
        <v>8</v>
      </c>
      <c r="FS15" s="1159">
        <v>8</v>
      </c>
      <c r="FT15" s="1159">
        <v>8</v>
      </c>
      <c r="FU15" s="1159">
        <v>8</v>
      </c>
      <c r="FV15" s="1159">
        <v>8</v>
      </c>
      <c r="FW15" s="1159">
        <v>8</v>
      </c>
      <c r="FX15" s="1159">
        <v>8</v>
      </c>
      <c r="FY15" s="1159">
        <v>8</v>
      </c>
      <c r="FZ15" s="1159">
        <v>8</v>
      </c>
      <c r="GA15" s="1159">
        <v>8</v>
      </c>
      <c r="GB15" s="1159">
        <v>8</v>
      </c>
      <c r="GC15" s="1159">
        <v>8</v>
      </c>
      <c r="GD15" s="1159">
        <v>8</v>
      </c>
      <c r="GE15" s="1159">
        <v>8</v>
      </c>
      <c r="GF15" s="1159">
        <v>8</v>
      </c>
      <c r="GG15" s="1159">
        <v>8</v>
      </c>
      <c r="GH15" s="1159">
        <v>8</v>
      </c>
      <c r="GI15" s="1159">
        <v>8</v>
      </c>
      <c r="GJ15" s="1159">
        <v>8</v>
      </c>
      <c r="GK15" s="1159">
        <v>8</v>
      </c>
      <c r="GL15" s="1159">
        <v>8</v>
      </c>
      <c r="GM15" s="1159">
        <v>8</v>
      </c>
      <c r="GN15" s="1159">
        <v>8</v>
      </c>
      <c r="GO15" s="1159">
        <v>8</v>
      </c>
      <c r="GP15" s="1159">
        <v>8</v>
      </c>
      <c r="GQ15" s="1159">
        <v>8</v>
      </c>
      <c r="GR15" s="1159">
        <v>8</v>
      </c>
      <c r="GS15" s="1159">
        <v>8</v>
      </c>
      <c r="GT15" s="1159">
        <v>8</v>
      </c>
      <c r="GU15" s="1159">
        <v>8</v>
      </c>
      <c r="GV15" s="1159">
        <v>8</v>
      </c>
      <c r="GW15" s="1159">
        <v>8</v>
      </c>
      <c r="GX15" s="1159">
        <v>8</v>
      </c>
      <c r="GY15" s="1159">
        <v>8</v>
      </c>
      <c r="GZ15" s="1159">
        <v>8</v>
      </c>
      <c r="HA15" s="1159">
        <v>8</v>
      </c>
      <c r="HB15" s="1159">
        <v>8</v>
      </c>
      <c r="HC15" s="1159">
        <v>8</v>
      </c>
      <c r="HD15" s="1159">
        <v>8</v>
      </c>
      <c r="HE15" s="1159">
        <v>8</v>
      </c>
      <c r="HF15" s="1159">
        <v>8</v>
      </c>
      <c r="HG15" s="1159">
        <v>8</v>
      </c>
      <c r="HH15" s="1159">
        <v>8</v>
      </c>
      <c r="HI15" s="1159">
        <v>8</v>
      </c>
      <c r="HJ15" s="1159">
        <v>8</v>
      </c>
      <c r="HK15" s="1159">
        <v>8</v>
      </c>
      <c r="HL15" s="1159">
        <v>8</v>
      </c>
      <c r="HM15" s="1159">
        <v>8</v>
      </c>
      <c r="HN15" s="1159">
        <v>8</v>
      </c>
      <c r="HO15" s="1159">
        <v>8</v>
      </c>
      <c r="HP15" s="1159">
        <v>8</v>
      </c>
      <c r="HQ15" s="1159">
        <v>8</v>
      </c>
      <c r="HR15" s="1159">
        <v>8</v>
      </c>
      <c r="HS15" s="1159">
        <v>8</v>
      </c>
      <c r="HT15" s="1159">
        <v>8</v>
      </c>
      <c r="HU15" s="1159">
        <v>8</v>
      </c>
      <c r="HV15" s="1159">
        <v>8</v>
      </c>
      <c r="HW15" s="1159">
        <v>8</v>
      </c>
      <c r="HX15" s="1159">
        <v>8</v>
      </c>
      <c r="HY15" s="1159">
        <v>8</v>
      </c>
      <c r="HZ15" s="1159">
        <v>8</v>
      </c>
      <c r="IA15" s="1159">
        <v>8</v>
      </c>
      <c r="IB15" s="1159">
        <v>8</v>
      </c>
      <c r="IC15" s="1159">
        <v>8</v>
      </c>
      <c r="ID15" s="1159">
        <v>8</v>
      </c>
      <c r="IE15" s="1159">
        <v>8</v>
      </c>
      <c r="IF15" s="1159">
        <v>8</v>
      </c>
      <c r="IG15" s="1159">
        <v>8</v>
      </c>
      <c r="IH15" s="1159">
        <v>8</v>
      </c>
      <c r="II15" s="1159">
        <v>8</v>
      </c>
      <c r="IJ15" s="1159">
        <v>8</v>
      </c>
      <c r="IK15" s="1159">
        <v>8</v>
      </c>
      <c r="IL15" s="1159">
        <v>8</v>
      </c>
      <c r="IM15" s="1159">
        <v>8</v>
      </c>
      <c r="IN15" s="1159">
        <v>8</v>
      </c>
      <c r="IO15" s="1159">
        <v>8</v>
      </c>
      <c r="IP15" s="1159">
        <v>8</v>
      </c>
      <c r="IQ15" s="1159">
        <v>8</v>
      </c>
      <c r="IR15" s="1159">
        <v>8</v>
      </c>
      <c r="IS15" s="1159">
        <v>8</v>
      </c>
      <c r="IT15" s="1159">
        <v>8</v>
      </c>
      <c r="IU15" s="1159">
        <v>8</v>
      </c>
      <c r="IV15" s="1159">
        <v>8</v>
      </c>
      <c r="IW15" s="115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DDEE7F-8444-62BE-0144-11D587F4AA5E}"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635" t="s">
        <v>14</v>
      </c>
    </row>
    <row s="1854" customFormat="1" customHeight="1" ht="22.5" hidden="1">
      <c r="A2" s="835"/>
      <c r="B2" s="1370">
        <v>1</v>
      </c>
      <c r="C2" s="1370"/>
      <c r="D2" s="1932" t="s">
        <v>104</v>
      </c>
      <c r="E2" s="1908"/>
      <c r="F2" s="1910" t="str">
        <f>IF(ROIV_INFO_NAME="","",ROIV_INFO_NAME)</f>
        <v>АО "Теплоэнерго"</v>
      </c>
      <c r="G2" s="1736" t="s">
        <v>22</v>
      </c>
      <c r="H2" s="1920"/>
      <c r="I2" s="1542"/>
      <c r="J2" s="822"/>
      <c r="K2" s="822"/>
      <c r="L2" s="232"/>
      <c r="M2" s="1539">
        <f>MERGEVALUE(F2)</f>
      </c>
      <c r="N2" s="1640"/>
      <c r="O2" s="1640"/>
      <c r="P2" s="1628" t="str">
        <f t="array" ref="P2:P2">IF(ISERROR(MATCH(MID(Q2,1,250),MID(note_ter,1,250),0)),"n","y")</f>
        <v>n</v>
      </c>
      <c r="Q2" s="1640"/>
      <c r="R2" s="1628" t="str">
        <f>G2&amp;"("&amp;L2&amp;")"</f>
        <v>()</v>
      </c>
      <c r="S2" s="1370"/>
      <c r="T2" s="1370"/>
      <c r="U2" s="424"/>
      <c r="V2" s="1370"/>
      <c r="W2" s="1370"/>
      <c r="X2" s="1370"/>
      <c r="Y2" s="837"/>
      <c r="Z2" s="837"/>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837"/>
      <c r="BW2" s="837"/>
      <c r="BX2" s="837"/>
      <c r="BY2" s="837"/>
      <c r="BZ2" s="837"/>
      <c r="CA2" s="837"/>
      <c r="CB2" s="837"/>
      <c r="CC2" s="837"/>
      <c r="CD2" s="837"/>
      <c r="CE2" s="837"/>
      <c r="IW2" s="628">
        <v>0</v>
      </c>
    </row>
    <row s="1646" customFormat="1" customHeight="1" ht="5.25" hidden="1">
      <c r="A3" s="1645"/>
      <c r="D3" s="1897"/>
      <c r="F3" s="252" t="s">
        <v>83</v>
      </c>
      <c r="G3" s="1739" t="s">
        <v>84</v>
      </c>
      <c r="H3" s="1897"/>
      <c r="I3" s="1897"/>
      <c r="J3" s="1897"/>
      <c r="K3" s="1897"/>
      <c r="L3" s="231" t="s">
        <v>85</v>
      </c>
      <c r="M3" s="252" t="s">
        <v>83</v>
      </c>
      <c r="N3" s="252"/>
      <c r="O3" s="252"/>
      <c r="P3" s="252"/>
      <c r="Q3" s="252"/>
      <c r="R3" s="252"/>
      <c r="S3" s="252"/>
      <c r="T3" s="252"/>
      <c r="U3" s="252"/>
      <c r="V3" s="252"/>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1640">
        <v>0</v>
      </c>
    </row>
    <row s="1823" customFormat="1" customHeight="1" ht="14.699999999999998">
      <c r="A4" s="1635"/>
      <c r="B4" s="1370"/>
      <c r="C4" s="1635"/>
      <c r="D4" s="1519"/>
      <c r="E4" s="1639"/>
      <c r="F4" s="1639"/>
      <c r="G4" s="1639"/>
      <c r="H4" s="1639"/>
      <c r="I4" s="1639"/>
      <c r="J4" s="1639"/>
      <c r="K4" s="1639"/>
      <c r="L4" s="1899"/>
      <c r="M4" s="252"/>
      <c r="N4" s="1628"/>
      <c r="O4" s="1628"/>
      <c r="P4" s="1628"/>
      <c r="Q4" s="1628"/>
      <c r="R4" s="1628"/>
      <c r="S4" s="229"/>
      <c r="T4" s="229"/>
      <c r="U4" s="229"/>
      <c r="V4" s="229"/>
      <c r="IW4" s="1613">
        <v>14</v>
      </c>
    </row>
    <row s="1823" customFormat="1" customHeight="1" ht="27.299999999999997">
      <c r="A5" s="1635"/>
      <c r="B5" s="1370"/>
      <c r="C5" s="1635"/>
      <c r="D5" s="1519"/>
      <c r="E5" s="210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4"/>
      <c r="G5" s="2104"/>
      <c r="H5" s="2104"/>
      <c r="I5" s="2104"/>
      <c r="J5" s="2104"/>
      <c r="K5" s="2104"/>
      <c r="L5" s="1639"/>
      <c r="M5" s="252"/>
      <c r="N5" s="1628"/>
      <c r="O5" s="1628"/>
      <c r="P5" s="1628"/>
      <c r="Q5" s="1628"/>
      <c r="R5" s="1628"/>
      <c r="S5" s="229"/>
      <c r="T5" s="229"/>
      <c r="U5" s="229"/>
      <c r="V5" s="229"/>
      <c r="IW5" s="1613">
        <v>26</v>
      </c>
    </row>
    <row s="1823" customFormat="1" customHeight="1" ht="14.699999999999998">
      <c r="A6" s="1635"/>
      <c r="B6" s="1370"/>
      <c r="C6" s="1635"/>
      <c r="D6" s="1519"/>
      <c r="E6" s="1639"/>
      <c r="F6" s="620"/>
      <c r="G6" s="620"/>
      <c r="H6" s="620"/>
      <c r="I6" s="620"/>
      <c r="J6" s="620"/>
      <c r="K6" s="620"/>
      <c r="L6" s="1256"/>
      <c r="M6" s="1628"/>
      <c r="N6" s="1628"/>
      <c r="O6" s="1628"/>
      <c r="P6" s="1628"/>
      <c r="Q6" s="1628"/>
      <c r="R6" s="1628"/>
      <c r="S6" s="229"/>
      <c r="T6" s="229"/>
      <c r="U6" s="229"/>
      <c r="V6" s="229"/>
      <c r="IW6" s="1613">
        <v>14</v>
      </c>
    </row>
    <row s="1823" customFormat="1" customHeight="1" ht="14.699999999999998">
      <c r="A7" s="1635"/>
      <c r="B7" s="1370"/>
      <c r="C7" s="1635"/>
      <c r="D7" s="1519"/>
      <c r="E7" s="2105" t="s">
        <v>318</v>
      </c>
      <c r="F7" s="2106"/>
      <c r="G7" s="2106"/>
      <c r="H7" s="2106"/>
      <c r="I7" s="2106"/>
      <c r="J7" s="2106"/>
      <c r="K7" s="2106"/>
      <c r="L7" s="2478" t="s">
        <v>319</v>
      </c>
      <c r="M7" s="1628"/>
      <c r="N7" s="1628"/>
      <c r="O7" s="1628"/>
      <c r="P7" s="1628"/>
      <c r="Q7" s="1628"/>
      <c r="R7" s="1628"/>
      <c r="S7" s="229"/>
      <c r="T7" s="229"/>
      <c r="U7" s="229"/>
      <c r="V7" s="229"/>
      <c r="IW7" s="1613">
        <v>14</v>
      </c>
    </row>
    <row s="1823" customFormat="1" customHeight="1" ht="67.2">
      <c r="A8" s="1635"/>
      <c r="B8" s="1370"/>
      <c r="C8" s="1635"/>
      <c r="D8" s="1519"/>
      <c r="E8" s="2482" t="s">
        <v>88</v>
      </c>
      <c r="F8" s="2482" t="s">
        <v>2173</v>
      </c>
      <c r="G8" s="2484" t="s">
        <v>2174</v>
      </c>
      <c r="H8" s="2485"/>
      <c r="I8" s="2486"/>
      <c r="J8" s="2482" t="s">
        <v>2175</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1628"/>
      <c r="N8" s="1628"/>
      <c r="O8" s="1628"/>
      <c r="P8" s="1628"/>
      <c r="Q8" s="1628"/>
      <c r="R8" s="1628"/>
      <c r="S8" s="229"/>
      <c r="T8" s="229"/>
      <c r="U8" s="229"/>
      <c r="V8" s="229"/>
      <c r="IW8" s="1613">
        <v>64</v>
      </c>
    </row>
    <row s="1823" customFormat="1" customHeight="1" ht="29.25">
      <c r="A9" s="1635"/>
      <c r="B9" s="1370"/>
      <c r="C9" s="1635"/>
      <c r="D9" s="1519"/>
      <c r="E9" s="2483"/>
      <c r="F9" s="2483"/>
      <c r="G9" s="1898" t="s">
        <v>2169</v>
      </c>
      <c r="H9" s="1898" t="s">
        <v>2170</v>
      </c>
      <c r="I9" s="1898" t="s">
        <v>2171</v>
      </c>
      <c r="J9" s="2483"/>
      <c r="K9" s="2483"/>
      <c r="L9" s="2479"/>
      <c r="M9" s="1628"/>
      <c r="N9" s="1628"/>
      <c r="O9" s="1628"/>
      <c r="P9" s="1628"/>
      <c r="Q9" s="1628"/>
      <c r="R9" s="1628"/>
      <c r="S9" s="229"/>
      <c r="T9" s="229"/>
      <c r="U9" s="229"/>
      <c r="V9" s="229"/>
      <c r="IW9" s="1613">
        <v>28</v>
      </c>
    </row>
    <row s="1854" customFormat="1" customHeight="1" ht="1.05">
      <c r="A10" s="2103"/>
      <c r="B10" s="1370">
        <v>1</v>
      </c>
      <c r="C10" s="1370"/>
      <c r="D10" s="804"/>
      <c r="E10" s="799">
        <v>0</v>
      </c>
      <c r="F10" s="1895" t="str">
        <f>IF(ROIV_INFO_NAME="","",ROIV_INFO_NAME)</f>
        <v>АО "Теплоэнерго"</v>
      </c>
      <c r="G10" s="1737" t="s">
        <v>22</v>
      </c>
      <c r="H10" s="1907"/>
      <c r="I10" s="1907"/>
      <c r="J10" s="523"/>
      <c r="K10" s="523"/>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1640"/>
      <c r="O10" s="1640"/>
      <c r="P10" s="1628" t="str">
        <f t="array" ref="P10:P10">IF(ISERROR(MATCH(MID(Q10,1,250),MID(note_ter,1,250),0)),"n","y")</f>
        <v>n</v>
      </c>
      <c r="Q10" s="1640"/>
      <c r="R10" s="16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0"/>
      <c r="T10" s="1370"/>
      <c r="U10" s="424"/>
      <c r="V10" s="1370"/>
      <c r="W10" s="1370"/>
      <c r="X10" s="1370"/>
      <c r="Y10" s="837"/>
      <c r="Z10" s="837"/>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837"/>
      <c r="BW10" s="837"/>
      <c r="BX10" s="837"/>
      <c r="BY10" s="837"/>
      <c r="BZ10" s="837"/>
      <c r="CA10" s="837"/>
      <c r="CB10" s="837"/>
      <c r="CC10" s="837"/>
      <c r="CD10" s="837"/>
      <c r="CE10" s="837"/>
      <c r="IW10" s="628">
        <v>1</v>
      </c>
    </row>
    <row s="1854" customFormat="1" customHeight="1" ht="15.75">
      <c r="A11" s="2103"/>
      <c r="B11" s="1370"/>
      <c r="C11" s="416"/>
      <c r="D11" s="805"/>
      <c r="E11" s="425"/>
      <c r="F11" s="655" t="s">
        <v>2172</v>
      </c>
      <c r="G11" s="191"/>
      <c r="H11" s="191"/>
      <c r="I11" s="191"/>
      <c r="J11" s="191"/>
      <c r="K11" s="428"/>
      <c r="L11" s="2481"/>
      <c r="M11" s="1540"/>
      <c r="N11" s="1640"/>
      <c r="O11" s="1640"/>
      <c r="P11" s="1640"/>
      <c r="Q11" s="1628"/>
      <c r="R11" s="1640"/>
      <c r="S11" s="1370"/>
      <c r="T11" s="1370"/>
      <c r="U11" s="424"/>
      <c r="V11" s="1370"/>
      <c r="W11" s="1370"/>
      <c r="X11" s="1370"/>
      <c r="Y11" s="837"/>
      <c r="Z11" s="837"/>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837"/>
      <c r="BW11" s="837"/>
      <c r="BX11" s="837"/>
      <c r="BY11" s="837"/>
      <c r="BZ11" s="837"/>
      <c r="CA11" s="837"/>
      <c r="CB11" s="837"/>
      <c r="CC11" s="837"/>
      <c r="CD11" s="837"/>
      <c r="CE11" s="837"/>
      <c r="IW11" s="628">
        <v>15</v>
      </c>
    </row>
    <row s="1823" customFormat="1" customHeight="1" ht="22.049999999999997">
      <c r="A12" s="1635"/>
      <c r="B12" s="1370"/>
      <c r="C12" s="1635"/>
      <c r="D12" s="1637"/>
      <c r="E12" s="184"/>
      <c r="F12" s="184"/>
      <c r="G12" s="184"/>
      <c r="H12" s="184"/>
      <c r="I12" s="184"/>
      <c r="J12" s="184"/>
      <c r="K12" s="184"/>
      <c r="L12" s="184"/>
      <c r="M12" s="1628"/>
      <c r="N12" s="1628"/>
      <c r="O12" s="1628"/>
      <c r="P12" s="1628"/>
      <c r="Q12" s="1628"/>
      <c r="R12" s="1628"/>
      <c r="S12" s="229"/>
      <c r="T12" s="229"/>
      <c r="U12" s="229"/>
      <c r="V12" s="229"/>
      <c r="IW12" s="1613">
        <v>21</v>
      </c>
    </row>
    <row s="1823" customFormat="1" customHeight="1" ht="14.699999999999998">
      <c r="A13" s="1635"/>
      <c r="B13" s="1370"/>
      <c r="C13" s="1635"/>
      <c r="D13" s="1637"/>
      <c r="E13" s="1635"/>
      <c r="F13" s="1635"/>
      <c r="G13" s="1635"/>
      <c r="H13" s="1635"/>
      <c r="I13" s="1635"/>
      <c r="J13" s="1635"/>
      <c r="K13" s="1635"/>
      <c r="L13" s="1635"/>
      <c r="M13" s="1628"/>
      <c r="N13" s="1628"/>
      <c r="O13" s="1628"/>
      <c r="P13" s="1628"/>
      <c r="Q13" s="1628"/>
      <c r="R13" s="1628"/>
      <c r="S13" s="229"/>
      <c r="T13" s="229"/>
      <c r="U13" s="229"/>
      <c r="V13" s="229"/>
      <c r="IW13" s="1613">
        <v>14</v>
      </c>
    </row>
    <row s="1823" customFormat="1" customHeight="1" ht="1.05">
      <c r="A14" s="1635"/>
      <c r="B14" s="1370"/>
      <c r="C14" s="1635"/>
      <c r="D14" s="1637"/>
      <c r="E14" s="1635"/>
      <c r="F14" s="1635"/>
      <c r="G14" s="1635"/>
      <c r="H14" s="1635"/>
      <c r="I14" s="1635"/>
      <c r="J14" s="1635"/>
      <c r="K14" s="1635"/>
      <c r="L14" s="1635"/>
      <c r="M14" s="1628"/>
      <c r="N14" s="1628"/>
      <c r="O14" s="1628"/>
      <c r="P14" s="1628"/>
      <c r="Q14" s="1628"/>
      <c r="R14" s="1628"/>
      <c r="S14" s="229"/>
      <c r="T14" s="229"/>
      <c r="U14" s="229"/>
      <c r="V14" s="229"/>
      <c r="IW14" s="1613">
        <v>1</v>
      </c>
    </row>
    <row customHeight="1" ht="22.5" hidden="1">
      <c r="A15" s="1635" t="s">
        <v>82</v>
      </c>
      <c r="B15" s="1370">
        <v>0</v>
      </c>
      <c r="C15" s="1635">
        <v>0</v>
      </c>
      <c r="D15" s="1637">
        <v>3</v>
      </c>
      <c r="E15" s="1635">
        <v>6</v>
      </c>
      <c r="F15" s="1635">
        <v>27</v>
      </c>
      <c r="G15" s="1635">
        <v>16</v>
      </c>
      <c r="H15" s="1635">
        <v>12</v>
      </c>
      <c r="I15" s="1635">
        <v>32</v>
      </c>
      <c r="J15" s="1635">
        <v>41</v>
      </c>
      <c r="K15" s="1635">
        <v>41</v>
      </c>
      <c r="L15" s="1635">
        <v>89</v>
      </c>
      <c r="M15" s="1628">
        <v>3</v>
      </c>
      <c r="N15" s="1628">
        <v>8</v>
      </c>
      <c r="O15" s="1628">
        <v>8</v>
      </c>
      <c r="P15" s="1628">
        <v>8</v>
      </c>
      <c r="Q15" s="1628">
        <v>25</v>
      </c>
      <c r="R15" s="1628">
        <v>14</v>
      </c>
      <c r="S15" s="229">
        <v>8</v>
      </c>
      <c r="T15" s="229">
        <v>8</v>
      </c>
      <c r="U15" s="229">
        <v>8</v>
      </c>
      <c r="V15" s="229">
        <v>8</v>
      </c>
      <c r="W15" s="1635">
        <v>8</v>
      </c>
      <c r="X15" s="1635">
        <v>8</v>
      </c>
      <c r="Y15" s="1635">
        <v>8</v>
      </c>
      <c r="Z15" s="1635">
        <v>8</v>
      </c>
      <c r="AA15" s="1635">
        <v>8</v>
      </c>
      <c r="AB15" s="1635">
        <v>8</v>
      </c>
      <c r="AC15" s="1635">
        <v>8</v>
      </c>
      <c r="AD15" s="1635">
        <v>8</v>
      </c>
      <c r="AE15" s="1635">
        <v>8</v>
      </c>
      <c r="AF15" s="1635">
        <v>8</v>
      </c>
      <c r="AG15" s="1635">
        <v>8</v>
      </c>
      <c r="AH15" s="1635">
        <v>8</v>
      </c>
      <c r="AI15" s="1635">
        <v>8</v>
      </c>
      <c r="AJ15" s="1635">
        <v>8</v>
      </c>
      <c r="AK15" s="1635">
        <v>8</v>
      </c>
      <c r="AL15" s="1635">
        <v>8</v>
      </c>
      <c r="AM15" s="1635">
        <v>8</v>
      </c>
      <c r="AN15" s="1635">
        <v>8</v>
      </c>
      <c r="AO15" s="1635">
        <v>8</v>
      </c>
      <c r="AP15" s="1635">
        <v>8</v>
      </c>
      <c r="AQ15" s="1635">
        <v>8</v>
      </c>
      <c r="AR15" s="1635">
        <v>8</v>
      </c>
      <c r="AS15" s="1635">
        <v>8</v>
      </c>
      <c r="AT15" s="1635">
        <v>8</v>
      </c>
      <c r="AU15" s="1635">
        <v>8</v>
      </c>
      <c r="AV15" s="1635">
        <v>8</v>
      </c>
      <c r="AW15" s="1635">
        <v>8</v>
      </c>
      <c r="AX15" s="1635">
        <v>8</v>
      </c>
      <c r="AY15" s="1635">
        <v>8</v>
      </c>
      <c r="AZ15" s="1635">
        <v>8</v>
      </c>
      <c r="BA15" s="1635">
        <v>8</v>
      </c>
      <c r="BB15" s="1635">
        <v>8</v>
      </c>
      <c r="BC15" s="1635">
        <v>8</v>
      </c>
      <c r="BD15" s="1635">
        <v>8</v>
      </c>
      <c r="BE15" s="1635">
        <v>8</v>
      </c>
      <c r="BF15" s="1635">
        <v>8</v>
      </c>
      <c r="BG15" s="1635">
        <v>8</v>
      </c>
      <c r="BH15" s="1635">
        <v>8</v>
      </c>
      <c r="BI15" s="1635">
        <v>8</v>
      </c>
      <c r="BJ15" s="1635">
        <v>8</v>
      </c>
      <c r="BK15" s="1635">
        <v>8</v>
      </c>
      <c r="BL15" s="1635">
        <v>8</v>
      </c>
      <c r="BM15" s="1635">
        <v>8</v>
      </c>
      <c r="BN15" s="1635">
        <v>8</v>
      </c>
      <c r="BO15" s="1635">
        <v>8</v>
      </c>
      <c r="BP15" s="1635">
        <v>8</v>
      </c>
      <c r="BQ15" s="1635">
        <v>8</v>
      </c>
      <c r="BR15" s="1635">
        <v>8</v>
      </c>
      <c r="BS15" s="1635">
        <v>8</v>
      </c>
      <c r="BT15" s="1635">
        <v>8</v>
      </c>
      <c r="BU15" s="1635">
        <v>8</v>
      </c>
      <c r="BV15" s="1635">
        <v>8</v>
      </c>
      <c r="BW15" s="1635">
        <v>8</v>
      </c>
      <c r="BX15" s="1635">
        <v>8</v>
      </c>
      <c r="BY15" s="1635">
        <v>8</v>
      </c>
      <c r="BZ15" s="1635">
        <v>8</v>
      </c>
      <c r="CA15" s="1635">
        <v>8</v>
      </c>
      <c r="CB15" s="1635">
        <v>8</v>
      </c>
      <c r="CC15" s="1635">
        <v>8</v>
      </c>
      <c r="CD15" s="1635">
        <v>8</v>
      </c>
      <c r="CE15" s="1635">
        <v>8</v>
      </c>
      <c r="CF15" s="1635">
        <v>8</v>
      </c>
      <c r="CG15" s="1635">
        <v>8</v>
      </c>
      <c r="CH15" s="1635">
        <v>8</v>
      </c>
      <c r="CI15" s="1635">
        <v>8</v>
      </c>
      <c r="CJ15" s="1635">
        <v>8</v>
      </c>
      <c r="CK15" s="1635">
        <v>8</v>
      </c>
      <c r="CL15" s="1635">
        <v>8</v>
      </c>
      <c r="CM15" s="1635">
        <v>8</v>
      </c>
      <c r="CN15" s="1635">
        <v>8</v>
      </c>
      <c r="CO15" s="1635">
        <v>8</v>
      </c>
      <c r="CP15" s="1635">
        <v>8</v>
      </c>
      <c r="CQ15" s="1635">
        <v>8</v>
      </c>
      <c r="CR15" s="1635">
        <v>8</v>
      </c>
      <c r="CS15" s="1635">
        <v>8</v>
      </c>
      <c r="CT15" s="1635">
        <v>8</v>
      </c>
      <c r="CU15" s="1635">
        <v>8</v>
      </c>
      <c r="CV15" s="1635">
        <v>8</v>
      </c>
      <c r="CW15" s="1635">
        <v>8</v>
      </c>
      <c r="CX15" s="1635">
        <v>8</v>
      </c>
      <c r="CY15" s="1635">
        <v>8</v>
      </c>
      <c r="CZ15" s="1635">
        <v>8</v>
      </c>
      <c r="DA15" s="1635">
        <v>8</v>
      </c>
      <c r="DB15" s="1635">
        <v>8</v>
      </c>
      <c r="DC15" s="1635">
        <v>8</v>
      </c>
      <c r="DD15" s="1635">
        <v>8</v>
      </c>
      <c r="DE15" s="1635">
        <v>8</v>
      </c>
      <c r="DF15" s="1635">
        <v>8</v>
      </c>
      <c r="DG15" s="1635">
        <v>8</v>
      </c>
      <c r="DH15" s="1635">
        <v>8</v>
      </c>
      <c r="DI15" s="1635">
        <v>8</v>
      </c>
      <c r="DJ15" s="1635">
        <v>8</v>
      </c>
      <c r="DK15" s="1635">
        <v>8</v>
      </c>
      <c r="DL15" s="1635">
        <v>8</v>
      </c>
      <c r="DM15" s="1635">
        <v>8</v>
      </c>
      <c r="DN15" s="1635">
        <v>8</v>
      </c>
      <c r="DO15" s="1635">
        <v>8</v>
      </c>
      <c r="DP15" s="1635">
        <v>8</v>
      </c>
      <c r="DQ15" s="1635">
        <v>8</v>
      </c>
      <c r="DR15" s="1635">
        <v>8</v>
      </c>
      <c r="DS15" s="1635">
        <v>8</v>
      </c>
      <c r="DT15" s="1635">
        <v>8</v>
      </c>
      <c r="DU15" s="1635">
        <v>8</v>
      </c>
      <c r="DV15" s="1635">
        <v>8</v>
      </c>
      <c r="DW15" s="1635">
        <v>8</v>
      </c>
      <c r="DX15" s="1635">
        <v>8</v>
      </c>
      <c r="DY15" s="1635">
        <v>8</v>
      </c>
      <c r="DZ15" s="1635">
        <v>8</v>
      </c>
      <c r="EA15" s="1635">
        <v>8</v>
      </c>
      <c r="EB15" s="1635">
        <v>8</v>
      </c>
      <c r="EC15" s="1635">
        <v>8</v>
      </c>
      <c r="ED15" s="1635">
        <v>8</v>
      </c>
      <c r="EE15" s="1635">
        <v>8</v>
      </c>
      <c r="EF15" s="1635">
        <v>8</v>
      </c>
      <c r="EG15" s="1635">
        <v>8</v>
      </c>
      <c r="EH15" s="1635">
        <v>8</v>
      </c>
      <c r="EI15" s="1635">
        <v>8</v>
      </c>
      <c r="EJ15" s="1635">
        <v>8</v>
      </c>
      <c r="EK15" s="1635">
        <v>8</v>
      </c>
      <c r="EL15" s="1635">
        <v>8</v>
      </c>
      <c r="EM15" s="1635">
        <v>8</v>
      </c>
      <c r="EN15" s="1635">
        <v>8</v>
      </c>
      <c r="EO15" s="1635">
        <v>8</v>
      </c>
      <c r="EP15" s="1635">
        <v>8</v>
      </c>
      <c r="EQ15" s="1635">
        <v>8</v>
      </c>
      <c r="ER15" s="1635">
        <v>8</v>
      </c>
      <c r="ES15" s="1635">
        <v>8</v>
      </c>
      <c r="ET15" s="1635">
        <v>8</v>
      </c>
      <c r="EU15" s="1635">
        <v>8</v>
      </c>
      <c r="EV15" s="1635">
        <v>8</v>
      </c>
      <c r="EW15" s="1635">
        <v>8</v>
      </c>
      <c r="EX15" s="1635">
        <v>8</v>
      </c>
      <c r="EY15" s="1635">
        <v>8</v>
      </c>
      <c r="EZ15" s="1635">
        <v>8</v>
      </c>
      <c r="FA15" s="1635">
        <v>8</v>
      </c>
      <c r="FB15" s="1635">
        <v>8</v>
      </c>
      <c r="FC15" s="1635">
        <v>8</v>
      </c>
      <c r="FD15" s="1635">
        <v>8</v>
      </c>
      <c r="FE15" s="1635">
        <v>8</v>
      </c>
      <c r="FF15" s="1635">
        <v>8</v>
      </c>
      <c r="FG15" s="1635">
        <v>8</v>
      </c>
      <c r="FH15" s="1635">
        <v>8</v>
      </c>
      <c r="FI15" s="1635">
        <v>8</v>
      </c>
      <c r="FJ15" s="1635">
        <v>8</v>
      </c>
      <c r="FK15" s="1635">
        <v>8</v>
      </c>
      <c r="FL15" s="1635">
        <v>8</v>
      </c>
      <c r="FM15" s="1635">
        <v>8</v>
      </c>
      <c r="FN15" s="1635">
        <v>8</v>
      </c>
      <c r="FO15" s="1635">
        <v>8</v>
      </c>
      <c r="FP15" s="1635">
        <v>8</v>
      </c>
      <c r="FQ15" s="1635">
        <v>8</v>
      </c>
      <c r="FR15" s="1635">
        <v>8</v>
      </c>
      <c r="FS15" s="1635">
        <v>8</v>
      </c>
      <c r="FT15" s="1635">
        <v>8</v>
      </c>
      <c r="FU15" s="1635">
        <v>8</v>
      </c>
      <c r="FV15" s="1635">
        <v>8</v>
      </c>
      <c r="FW15" s="1635">
        <v>8</v>
      </c>
      <c r="FX15" s="1635">
        <v>8</v>
      </c>
      <c r="FY15" s="1635">
        <v>8</v>
      </c>
      <c r="FZ15" s="1635">
        <v>8</v>
      </c>
      <c r="GA15" s="1635">
        <v>8</v>
      </c>
      <c r="GB15" s="1635">
        <v>8</v>
      </c>
      <c r="GC15" s="1635">
        <v>8</v>
      </c>
      <c r="GD15" s="1635">
        <v>8</v>
      </c>
      <c r="GE15" s="1635">
        <v>8</v>
      </c>
      <c r="GF15" s="1635">
        <v>8</v>
      </c>
      <c r="GG15" s="1635">
        <v>8</v>
      </c>
      <c r="GH15" s="1635">
        <v>8</v>
      </c>
      <c r="GI15" s="1635">
        <v>8</v>
      </c>
      <c r="GJ15" s="1635">
        <v>8</v>
      </c>
      <c r="GK15" s="1635">
        <v>8</v>
      </c>
      <c r="GL15" s="1635">
        <v>8</v>
      </c>
      <c r="GM15" s="1635">
        <v>8</v>
      </c>
      <c r="GN15" s="1635">
        <v>8</v>
      </c>
      <c r="GO15" s="1635">
        <v>8</v>
      </c>
      <c r="GP15" s="1635">
        <v>8</v>
      </c>
      <c r="GQ15" s="1635">
        <v>8</v>
      </c>
      <c r="GR15" s="1635">
        <v>8</v>
      </c>
      <c r="GS15" s="1635">
        <v>8</v>
      </c>
      <c r="GT15" s="1635">
        <v>8</v>
      </c>
      <c r="GU15" s="1635">
        <v>8</v>
      </c>
      <c r="GV15" s="1635">
        <v>8</v>
      </c>
      <c r="GW15" s="1635">
        <v>8</v>
      </c>
      <c r="GX15" s="1635">
        <v>8</v>
      </c>
      <c r="GY15" s="1635">
        <v>8</v>
      </c>
      <c r="GZ15" s="1635">
        <v>8</v>
      </c>
      <c r="HA15" s="1635">
        <v>8</v>
      </c>
      <c r="HB15" s="1635">
        <v>8</v>
      </c>
      <c r="HC15" s="1635">
        <v>8</v>
      </c>
      <c r="HD15" s="1635">
        <v>8</v>
      </c>
      <c r="HE15" s="1635">
        <v>8</v>
      </c>
      <c r="HF15" s="1635">
        <v>8</v>
      </c>
      <c r="HG15" s="1635">
        <v>8</v>
      </c>
      <c r="HH15" s="1635">
        <v>8</v>
      </c>
      <c r="HI15" s="1635">
        <v>8</v>
      </c>
      <c r="HJ15" s="1635">
        <v>8</v>
      </c>
      <c r="HK15" s="1635">
        <v>8</v>
      </c>
      <c r="HL15" s="1635">
        <v>8</v>
      </c>
      <c r="HM15" s="1635">
        <v>8</v>
      </c>
      <c r="HN15" s="1635">
        <v>8</v>
      </c>
      <c r="HO15" s="1635">
        <v>8</v>
      </c>
      <c r="HP15" s="1635">
        <v>8</v>
      </c>
      <c r="HQ15" s="1635">
        <v>8</v>
      </c>
      <c r="HR15" s="1635">
        <v>8</v>
      </c>
      <c r="HS15" s="1635">
        <v>8</v>
      </c>
      <c r="HT15" s="1635">
        <v>8</v>
      </c>
      <c r="HU15" s="1635">
        <v>8</v>
      </c>
      <c r="HV15" s="1635">
        <v>8</v>
      </c>
      <c r="HW15" s="1635">
        <v>8</v>
      </c>
      <c r="HX15" s="1635">
        <v>8</v>
      </c>
      <c r="HY15" s="1635">
        <v>8</v>
      </c>
      <c r="HZ15" s="1635">
        <v>8</v>
      </c>
      <c r="IA15" s="1635">
        <v>8</v>
      </c>
      <c r="IB15" s="1635">
        <v>8</v>
      </c>
      <c r="IC15" s="1635">
        <v>8</v>
      </c>
      <c r="ID15" s="1635">
        <v>8</v>
      </c>
      <c r="IE15" s="1635">
        <v>8</v>
      </c>
      <c r="IF15" s="1635">
        <v>8</v>
      </c>
      <c r="IG15" s="1635">
        <v>8</v>
      </c>
      <c r="IH15" s="1635">
        <v>8</v>
      </c>
      <c r="II15" s="1635">
        <v>8</v>
      </c>
      <c r="IJ15" s="1635">
        <v>8</v>
      </c>
      <c r="IK15" s="1635">
        <v>8</v>
      </c>
      <c r="IL15" s="1635">
        <v>8</v>
      </c>
      <c r="IM15" s="1635">
        <v>8</v>
      </c>
      <c r="IN15" s="1635">
        <v>8</v>
      </c>
      <c r="IO15" s="1635">
        <v>8</v>
      </c>
      <c r="IP15" s="1635">
        <v>8</v>
      </c>
      <c r="IQ15" s="1635">
        <v>8</v>
      </c>
      <c r="IR15" s="1635">
        <v>8</v>
      </c>
      <c r="IS15" s="1635">
        <v>8</v>
      </c>
      <c r="IT15" s="1635">
        <v>8</v>
      </c>
      <c r="IU15" s="1635">
        <v>8</v>
      </c>
      <c r="IV15" s="1635">
        <v>8</v>
      </c>
      <c r="IW15" s="163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A307DC-454A-9B52-CB08-E7C7D0AE97D5}"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29.00390625" customWidth="1"/>
    <col min="8" max="8" style="1639" width="25.00390625" customWidth="1"/>
    <col min="9" max="9" style="1639" width="5.00390625" customWidth="1"/>
    <col min="10" max="10" style="1639" width="6.00390625" customWidth="1"/>
    <col min="11" max="11" style="1639" width="41.00390625" customWidth="1"/>
    <col min="12" max="12" style="1639" width="42.00390625" customWidth="1"/>
    <col min="13" max="13" style="1639" width="41.00390625" customWidth="1"/>
    <col min="14" max="14" style="1639" width="89.00390625" customWidth="1"/>
    <col min="15" max="15" style="1628" width="3.00390625" customWidth="1"/>
    <col min="16" max="16" style="1628" width="8.00390625" customWidth="1"/>
    <col min="17" max="17" style="1639" width="9.140625" hidden="1"/>
  </cols>
  <sheetData>
    <row customHeight="1" ht="22.5" hidden="1">
      <c r="Q1" s="1159" t="s">
        <v>14</v>
      </c>
    </row>
    <row s="1854" customFormat="1" customHeight="1" ht="22.5" hidden="1">
      <c r="A2" s="500"/>
      <c r="B2" s="1164">
        <v>1</v>
      </c>
      <c r="C2" s="1164"/>
      <c r="D2" s="1932" t="s">
        <v>104</v>
      </c>
      <c r="E2" s="2131">
        <v>1</v>
      </c>
      <c r="F2" s="2307" t="str">
        <f>IF(region_name="","",region_name)</f>
        <v>Нижегородская область</v>
      </c>
      <c r="G2" s="2487"/>
      <c r="H2" s="2488"/>
      <c r="I2" s="478"/>
      <c r="J2" s="1914">
        <v>1</v>
      </c>
      <c r="K2" s="1916"/>
      <c r="L2" s="1916"/>
      <c r="M2" s="1916"/>
      <c r="N2" s="496"/>
      <c r="O2" s="1539"/>
      <c r="P2" s="515"/>
      <c r="Q2" s="427">
        <v>0</v>
      </c>
    </row>
    <row s="1854" customFormat="1" customHeight="1" ht="22.5" hidden="1">
      <c r="A3" s="835"/>
      <c r="B3" s="1164"/>
      <c r="C3" s="1164"/>
      <c r="D3" s="805"/>
      <c r="E3" s="2131"/>
      <c r="F3" s="2307"/>
      <c r="G3" s="2487"/>
      <c r="H3" s="2489"/>
      <c r="I3" s="425"/>
      <c r="J3" s="1504"/>
      <c r="K3" s="1504" t="s">
        <v>2176</v>
      </c>
      <c r="L3" s="1547"/>
      <c r="M3" s="1924"/>
      <c r="N3" s="1917"/>
      <c r="O3" s="1539"/>
      <c r="P3" s="515"/>
      <c r="Q3" s="427">
        <v>0</v>
      </c>
    </row>
    <row s="1646" customFormat="1" customHeight="1" ht="5.25" hidden="1">
      <c r="A4" s="500"/>
      <c r="D4" s="498"/>
      <c r="F4" s="251" t="s">
        <v>83</v>
      </c>
      <c r="G4" s="498" t="s">
        <v>84</v>
      </c>
      <c r="H4" s="498"/>
      <c r="I4" s="1927"/>
      <c r="J4" s="1548"/>
      <c r="K4" s="1915"/>
      <c r="L4" s="1915"/>
      <c r="M4" s="1915"/>
      <c r="N4" s="1911"/>
      <c r="O4" s="251" t="s">
        <v>83</v>
      </c>
      <c r="P4" s="251"/>
      <c r="Q4" s="515">
        <v>0</v>
      </c>
    </row>
    <row s="1854" customFormat="1" customHeight="1" ht="22.5" hidden="1">
      <c r="A5" s="1645"/>
      <c r="B5" s="1370">
        <v>1</v>
      </c>
      <c r="C5" s="1370"/>
      <c r="D5" s="805"/>
      <c r="E5" s="1917"/>
      <c r="F5" s="1917"/>
      <c r="G5" s="1917"/>
      <c r="H5" s="1928"/>
      <c r="I5" s="1933" t="s">
        <v>104</v>
      </c>
      <c r="J5" s="1926">
        <v>1</v>
      </c>
      <c r="K5" s="1916"/>
      <c r="L5" s="1916"/>
      <c r="M5" s="1916"/>
      <c r="N5" s="496"/>
      <c r="O5" s="1539"/>
      <c r="P5" s="1640"/>
      <c r="Q5" s="628">
        <v>0</v>
      </c>
    </row>
    <row s="1823" customFormat="1" customHeight="1" ht="14.699999999999998">
      <c r="A6" s="1159"/>
      <c r="B6" s="1164"/>
      <c r="C6" s="1159"/>
      <c r="D6" s="1499"/>
      <c r="E6" s="513"/>
      <c r="F6" s="513"/>
      <c r="G6" s="513"/>
      <c r="H6" s="513"/>
      <c r="I6" s="513"/>
      <c r="J6" s="513"/>
      <c r="K6" s="513"/>
      <c r="L6" s="513"/>
      <c r="M6" s="513"/>
      <c r="N6" s="1639"/>
      <c r="O6" s="251"/>
      <c r="P6" s="504"/>
      <c r="Q6" s="511">
        <v>14</v>
      </c>
    </row>
    <row s="1823" customFormat="1" customHeight="1" ht="27.299999999999997">
      <c r="A7" s="1159"/>
      <c r="B7" s="1164"/>
      <c r="C7" s="1159"/>
      <c r="D7" s="1499"/>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256"/>
      <c r="O7" s="251"/>
      <c r="P7" s="504"/>
      <c r="Q7" s="511">
        <v>26</v>
      </c>
    </row>
    <row s="1823" customFormat="1" customHeight="1" ht="14.699999999999998">
      <c r="A8" s="1159"/>
      <c r="B8" s="1164"/>
      <c r="C8" s="1159"/>
      <c r="D8" s="1499"/>
      <c r="E8" s="513"/>
      <c r="F8" s="171"/>
      <c r="G8" s="171"/>
      <c r="H8" s="171"/>
      <c r="I8" s="171"/>
      <c r="J8" s="171"/>
      <c r="K8" s="171"/>
      <c r="L8" s="171"/>
      <c r="M8" s="171"/>
      <c r="N8" s="620"/>
      <c r="O8" s="504"/>
      <c r="P8" s="504"/>
      <c r="Q8" s="511">
        <v>14</v>
      </c>
    </row>
    <row s="1550" customFormat="1" customHeight="1" ht="14.25" hidden="1">
      <c r="A9" s="1472"/>
      <c r="B9" s="1482"/>
      <c r="C9" s="1472"/>
      <c r="D9" s="1499"/>
      <c r="E9" s="1918"/>
      <c r="F9" s="1918"/>
      <c r="G9" s="1918"/>
      <c r="H9" s="1918"/>
      <c r="I9" s="2497"/>
      <c r="J9" s="2497"/>
      <c r="K9" s="2497"/>
      <c r="L9" s="1918"/>
      <c r="M9" s="1919"/>
      <c r="O9" s="1549"/>
      <c r="P9" s="1549"/>
      <c r="Q9" s="1550">
        <v>0</v>
      </c>
    </row>
    <row s="1823" customFormat="1" customHeight="1" ht="14.699999999999998">
      <c r="A10" s="1159"/>
      <c r="B10" s="1164"/>
      <c r="C10" s="1159"/>
      <c r="D10" s="1499"/>
      <c r="E10" s="2131" t="s">
        <v>318</v>
      </c>
      <c r="F10" s="2131"/>
      <c r="G10" s="2131"/>
      <c r="H10" s="2131"/>
      <c r="I10" s="2131"/>
      <c r="J10" s="2131"/>
      <c r="K10" s="2131"/>
      <c r="L10" s="2131"/>
      <c r="M10" s="2105"/>
      <c r="N10" s="2482" t="s">
        <v>319</v>
      </c>
      <c r="O10" s="504"/>
      <c r="P10" s="504"/>
      <c r="Q10" s="511">
        <v>14</v>
      </c>
    </row>
    <row s="1823" customFormat="1" customHeight="1" ht="44.25">
      <c r="A11" s="1635"/>
      <c r="B11" s="1370"/>
      <c r="C11" s="1635"/>
      <c r="D11" s="1519"/>
      <c r="E11" s="2496" t="s">
        <v>88</v>
      </c>
      <c r="F11" s="2496" t="s">
        <v>322</v>
      </c>
      <c r="G11" s="2496" t="s">
        <v>2177</v>
      </c>
      <c r="H11" s="2496"/>
      <c r="I11" s="2496" t="s">
        <v>2178</v>
      </c>
      <c r="J11" s="2496"/>
      <c r="K11" s="2496"/>
      <c r="L11" s="2496" t="s">
        <v>2179</v>
      </c>
      <c r="M11" s="2484" t="s">
        <v>2180</v>
      </c>
      <c r="N11" s="2495"/>
      <c r="O11" s="1628"/>
      <c r="P11" s="1628"/>
      <c r="Q11" s="1613">
        <v>42</v>
      </c>
    </row>
    <row s="1823" customFormat="1" customHeight="1" ht="29.25">
      <c r="A12" s="1159"/>
      <c r="B12" s="1164"/>
      <c r="C12" s="1159"/>
      <c r="D12" s="1499"/>
      <c r="E12" s="2482"/>
      <c r="F12" s="2496"/>
      <c r="G12" s="1913" t="s">
        <v>2181</v>
      </c>
      <c r="H12" s="1913" t="s">
        <v>326</v>
      </c>
      <c r="I12" s="2496"/>
      <c r="J12" s="2496"/>
      <c r="K12" s="2496"/>
      <c r="L12" s="2496"/>
      <c r="M12" s="2484"/>
      <c r="N12" s="2483"/>
      <c r="O12" s="504"/>
      <c r="P12" s="504"/>
      <c r="Q12" s="511">
        <v>28</v>
      </c>
    </row>
    <row s="1854" customFormat="1" customHeight="1" ht="23.25">
      <c r="A13" s="2103">
        <v>26379339</v>
      </c>
      <c r="B13" s="1164">
        <v>1</v>
      </c>
      <c r="C13" s="1164"/>
      <c r="D13" s="805"/>
      <c r="E13" s="2131">
        <v>1</v>
      </c>
      <c r="F13" s="2490" t="str">
        <f>IF(region_name="","",region_name)</f>
        <v>Нижегородская область</v>
      </c>
      <c r="G13" s="2491"/>
      <c r="H13" s="2498"/>
      <c r="I13" s="478"/>
      <c r="J13" s="1909">
        <v>1</v>
      </c>
      <c r="K13" s="1922"/>
      <c r="L13" s="1923"/>
      <c r="M13" s="1923"/>
      <c r="N13" s="2492" t="s">
        <v>2182</v>
      </c>
      <c r="O13" s="1539"/>
      <c r="P13" s="515"/>
      <c r="Q13" s="427">
        <v>22</v>
      </c>
    </row>
    <row s="1854" customFormat="1" customHeight="1" ht="23.25">
      <c r="A14" s="2103"/>
      <c r="B14" s="1164"/>
      <c r="C14" s="1164"/>
      <c r="D14" s="805"/>
      <c r="E14" s="2131"/>
      <c r="F14" s="2490"/>
      <c r="G14" s="2491"/>
      <c r="H14" s="2499"/>
      <c r="I14" s="425"/>
      <c r="J14" s="1504"/>
      <c r="K14" s="1504" t="s">
        <v>2176</v>
      </c>
      <c r="L14" s="1547"/>
      <c r="M14" s="1547"/>
      <c r="N14" s="2493"/>
      <c r="O14" s="1539"/>
      <c r="P14" s="515"/>
      <c r="Q14" s="427">
        <v>22</v>
      </c>
    </row>
    <row s="1854" customFormat="1" customHeight="1" ht="23.25">
      <c r="A15" s="2103"/>
      <c r="B15" s="1164"/>
      <c r="C15" s="416"/>
      <c r="D15" s="805"/>
      <c r="E15" s="425"/>
      <c r="F15" s="1504" t="s">
        <v>2168</v>
      </c>
      <c r="G15" s="1546"/>
      <c r="H15" s="1546"/>
      <c r="I15" s="191"/>
      <c r="J15" s="191"/>
      <c r="K15" s="191"/>
      <c r="L15" s="191"/>
      <c r="M15" s="191"/>
      <c r="N15" s="2493"/>
      <c r="O15" s="1540"/>
      <c r="P15" s="515"/>
      <c r="Q15" s="427">
        <v>22</v>
      </c>
    </row>
    <row s="1823" customFormat="1" customHeight="1" ht="22.049999999999997">
      <c r="A16" s="1159"/>
      <c r="B16" s="1164"/>
      <c r="C16" s="1159"/>
      <c r="D16" s="455"/>
      <c r="E16" s="184"/>
      <c r="F16" s="184"/>
      <c r="G16" s="184"/>
      <c r="H16" s="184"/>
      <c r="I16" s="184"/>
      <c r="J16" s="184"/>
      <c r="K16" s="184"/>
      <c r="L16" s="184"/>
      <c r="M16" s="513"/>
      <c r="N16" s="1639"/>
      <c r="O16" s="504"/>
      <c r="P16" s="504"/>
      <c r="Q16" s="511">
        <v>21</v>
      </c>
    </row>
    <row s="1823" customFormat="1" customHeight="1" ht="14.699999999999998">
      <c r="A17" s="1159"/>
      <c r="B17" s="1164"/>
      <c r="C17" s="1159"/>
      <c r="D17" s="455"/>
      <c r="E17" s="1159"/>
      <c r="F17" s="1159"/>
      <c r="G17" s="1159"/>
      <c r="H17" s="1159"/>
      <c r="I17" s="1159"/>
      <c r="J17" s="1159"/>
      <c r="K17" s="1159"/>
      <c r="L17" s="1159"/>
      <c r="M17" s="1159"/>
      <c r="N17" s="1635"/>
      <c r="O17" s="504"/>
      <c r="P17" s="504"/>
      <c r="Q17" s="511">
        <v>14</v>
      </c>
    </row>
    <row s="1823" customFormat="1" customHeight="1" ht="1.05">
      <c r="A18" s="1159"/>
      <c r="B18" s="1164"/>
      <c r="C18" s="1159"/>
      <c r="D18" s="455"/>
      <c r="E18" s="1159"/>
      <c r="F18" s="1159"/>
      <c r="G18" s="1159"/>
      <c r="H18" s="1159"/>
      <c r="I18" s="1159"/>
      <c r="J18" s="1159"/>
      <c r="K18" s="1159"/>
      <c r="L18" s="1159"/>
      <c r="M18" s="1159"/>
      <c r="N18" s="1635"/>
      <c r="O18" s="504"/>
      <c r="P18" s="504"/>
      <c r="Q18" s="511">
        <v>1</v>
      </c>
    </row>
    <row customHeight="1" ht="22.5" hidden="1">
      <c r="A19" s="1159" t="s">
        <v>82</v>
      </c>
      <c r="B19" s="1164">
        <v>0</v>
      </c>
      <c r="C19" s="1159">
        <v>0</v>
      </c>
      <c r="D19" s="455">
        <v>3</v>
      </c>
      <c r="E19" s="1159">
        <v>6</v>
      </c>
      <c r="F19" s="1159">
        <v>27</v>
      </c>
      <c r="G19" s="1159">
        <v>29</v>
      </c>
      <c r="H19" s="1159">
        <v>25</v>
      </c>
      <c r="I19" s="1159">
        <v>5</v>
      </c>
      <c r="J19" s="1159">
        <v>6</v>
      </c>
      <c r="K19" s="1159">
        <v>41</v>
      </c>
      <c r="L19" s="1159">
        <v>42</v>
      </c>
      <c r="M19" s="1159">
        <v>41</v>
      </c>
      <c r="N19" s="1635">
        <v>89</v>
      </c>
      <c r="O19" s="504">
        <v>3</v>
      </c>
      <c r="P19" s="504">
        <v>8</v>
      </c>
      <c r="Q19" s="115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572BC3-3E9A-68A8-2D85-04C6CA38EB95}"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2" width="9.140625" hidden="1"/>
    <col min="2" max="2" style="1827" width="9.140625" hidden="1"/>
    <col min="3" max="3" style="124" width="3.00390625" customWidth="1"/>
    <col min="4" max="4" style="1827" width="6.00390625" customWidth="1"/>
    <col min="5" max="5" style="1827" width="22.00390625" customWidth="1"/>
    <col min="6" max="6" style="1827" width="15.00390625" customWidth="1"/>
    <col min="7" max="7" style="1827" width="14.00390625" customWidth="1"/>
    <col min="8" max="8" style="1827" width="47.00390625" customWidth="1"/>
    <col min="9" max="9" style="1827" width="115.00390625" customWidth="1"/>
    <col min="10" max="10" style="1827" width="3.00390625" customWidth="1"/>
    <col min="11" max="12" style="1827" width="8.00390625" customWidth="1"/>
    <col min="13" max="13" style="1827" width="9.140625" hidden="1"/>
  </cols>
  <sheetData>
    <row customHeight="1" ht="14.25" hidden="1">
      <c r="M1" s="125" t="s">
        <v>14</v>
      </c>
    </row>
    <row customHeight="1" ht="14.25" hidden="1">
      <c r="M2" s="125">
        <v>0</v>
      </c>
    </row>
    <row customHeight="1" ht="14.25" hidden="1">
      <c r="M3" s="125">
        <v>0</v>
      </c>
    </row>
    <row customHeight="1" ht="3">
      <c r="M4" s="125">
        <v>3</v>
      </c>
    </row>
    <row s="1639" customFormat="1" customHeight="1" ht="31.5">
      <c r="A5" s="119"/>
      <c r="C5" s="94"/>
      <c r="D5" s="2104" t="s">
        <v>2183</v>
      </c>
      <c r="E5" s="2104"/>
      <c r="F5" s="2104"/>
      <c r="G5" s="2104"/>
      <c r="H5" s="2104"/>
      <c r="I5" s="269"/>
      <c r="M5" s="87">
        <v>30</v>
      </c>
    </row>
    <row customHeight="1" ht="3" hidden="1">
      <c r="D6" s="126"/>
      <c r="E6" s="126"/>
      <c r="F6" s="126"/>
      <c r="G6" s="126"/>
      <c r="H6" s="126"/>
      <c r="I6" s="126"/>
      <c r="M6" s="125">
        <v>0</v>
      </c>
    </row>
    <row s="362" customFormat="1" customHeight="1" ht="14.699999999999998">
      <c r="B7" s="123"/>
      <c r="C7" s="124"/>
      <c r="D7" s="127"/>
      <c r="E7" s="127"/>
      <c r="F7" s="127"/>
      <c r="G7" s="127"/>
      <c r="H7" s="756"/>
      <c r="I7" s="127"/>
      <c r="J7" s="128"/>
      <c r="M7" s="122">
        <v>14</v>
      </c>
    </row>
    <row customHeight="1" ht="14.699999999999998">
      <c r="D8" s="2213" t="s">
        <v>318</v>
      </c>
      <c r="E8" s="2213"/>
      <c r="F8" s="2213"/>
      <c r="G8" s="2213"/>
      <c r="H8" s="2213"/>
      <c r="I8" s="2213" t="s">
        <v>319</v>
      </c>
      <c r="M8" s="125">
        <v>14</v>
      </c>
    </row>
    <row customHeight="1" ht="29.25">
      <c r="D9" s="2213" t="s">
        <v>88</v>
      </c>
      <c r="E9" s="2213" t="s">
        <v>2184</v>
      </c>
      <c r="F9" s="2213"/>
      <c r="G9" s="2213"/>
      <c r="H9" s="2213"/>
      <c r="I9" s="2213"/>
      <c r="M9" s="125">
        <v>28</v>
      </c>
    </row>
    <row customHeight="1" ht="24">
      <c r="D10" s="2213"/>
      <c r="E10" s="131" t="s">
        <v>2185</v>
      </c>
      <c r="F10" s="131" t="s">
        <v>2186</v>
      </c>
      <c r="G10" s="131" t="s">
        <v>2187</v>
      </c>
      <c r="H10" s="131" t="s">
        <v>408</v>
      </c>
      <c r="I10" s="2213"/>
      <c r="M10" s="125">
        <v>23</v>
      </c>
    </row>
    <row customHeight="1" ht="12" hidden="1">
      <c r="D11" s="91" t="s">
        <v>119</v>
      </c>
      <c r="E11" s="91" t="s">
        <v>91</v>
      </c>
      <c r="F11" s="91" t="s">
        <v>120</v>
      </c>
      <c r="G11" s="91" t="s">
        <v>92</v>
      </c>
      <c r="H11" s="91" t="s">
        <v>93</v>
      </c>
      <c r="I11" s="91" t="s">
        <v>121</v>
      </c>
      <c r="M11" s="125">
        <v>0</v>
      </c>
    </row>
    <row s="1827" customFormat="1" customHeight="1" ht="26.25">
      <c r="A12" s="149" t="s">
        <v>90</v>
      </c>
      <c r="B12" s="129" t="s">
        <v>22</v>
      </c>
      <c r="C12" s="130"/>
      <c r="D12" s="132" t="s">
        <v>119</v>
      </c>
      <c r="E12" s="385"/>
      <c r="F12" s="385"/>
      <c r="G12" s="1738" t="s">
        <v>22</v>
      </c>
      <c r="H12" s="386"/>
      <c r="I12" s="2173" t="s">
        <v>2188</v>
      </c>
      <c r="K12" s="276"/>
      <c r="L12" s="277"/>
      <c r="M12" s="121">
        <v>25</v>
      </c>
    </row>
    <row customHeight="1" ht="15.75">
      <c r="A13" s="125"/>
      <c r="B13" s="125"/>
      <c r="C13" s="125"/>
      <c r="D13" s="113"/>
      <c r="E13" s="134" t="s">
        <v>486</v>
      </c>
      <c r="F13" s="133"/>
      <c r="G13" s="133"/>
      <c r="H13" s="218"/>
      <c r="I13" s="2175"/>
      <c r="M13" s="125">
        <v>15</v>
      </c>
    </row>
    <row customHeight="1" ht="3">
      <c r="A14" s="125"/>
      <c r="B14" s="125"/>
      <c r="C14" s="125"/>
      <c r="M14" s="125">
        <v>3</v>
      </c>
    </row>
    <row customHeight="1" ht="29.25">
      <c r="E15" s="2500" t="s">
        <v>2189</v>
      </c>
      <c r="F15" s="2500"/>
      <c r="G15" s="2500"/>
      <c r="H15" s="2500"/>
      <c r="M15" s="125">
        <v>28</v>
      </c>
    </row>
    <row customHeight="1" ht="14.25" hidden="1">
      <c r="A16" s="122" t="s">
        <v>82</v>
      </c>
      <c r="B16" s="123">
        <v>0</v>
      </c>
      <c r="C16" s="124">
        <v>3</v>
      </c>
      <c r="D16" s="125">
        <v>6</v>
      </c>
      <c r="E16" s="125">
        <v>22</v>
      </c>
      <c r="F16" s="125">
        <v>15</v>
      </c>
      <c r="G16" s="125">
        <v>14</v>
      </c>
      <c r="H16" s="125">
        <v>47</v>
      </c>
      <c r="I16" s="125">
        <v>115</v>
      </c>
      <c r="J16" s="125">
        <v>3</v>
      </c>
      <c r="K16" s="125">
        <v>8</v>
      </c>
      <c r="L16" s="125">
        <v>8</v>
      </c>
      <c r="M16" s="12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596B2C-BA31-AF71-1E55-A0776E0AD38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9" style="268" width="8.00390625" customWidth="1"/>
    <col min="10" max="10" style="268" width="9.140625" hidden="1"/>
  </cols>
  <sheetData>
    <row customHeight="1" ht="14.25" hidden="1">
      <c r="J1" s="73" t="s">
        <v>14</v>
      </c>
    </row>
    <row customHeight="1" ht="14.25" hidden="1">
      <c r="J2" s="73">
        <v>0</v>
      </c>
    </row>
    <row customHeight="1" ht="14.25" hidden="1">
      <c r="J3" s="73">
        <v>0</v>
      </c>
    </row>
    <row customHeight="1" ht="14.25" hidden="1">
      <c r="J4" s="73">
        <v>0</v>
      </c>
    </row>
    <row customHeight="1" ht="14.25" hidden="1">
      <c r="J5" s="73">
        <v>0</v>
      </c>
    </row>
    <row customHeight="1" ht="3">
      <c r="C6" s="96"/>
      <c r="D6" s="74"/>
      <c r="E6" s="74"/>
      <c r="J6" s="73">
        <v>3</v>
      </c>
    </row>
    <row customHeight="1" ht="23.25">
      <c r="C7" s="96"/>
      <c r="D7" s="2501" t="s">
        <v>2190</v>
      </c>
      <c r="E7" s="2502"/>
      <c r="F7" s="271"/>
      <c r="J7" s="73">
        <v>22</v>
      </c>
    </row>
    <row customHeight="1" ht="3">
      <c r="C8" s="96"/>
      <c r="D8" s="74"/>
      <c r="E8" s="74"/>
      <c r="J8" s="73">
        <v>3</v>
      </c>
    </row>
    <row customHeight="1" ht="16.8">
      <c r="C9" s="96"/>
      <c r="D9" s="109" t="s">
        <v>88</v>
      </c>
      <c r="E9" s="264" t="s">
        <v>2191</v>
      </c>
      <c r="J9" s="73">
        <v>16</v>
      </c>
    </row>
    <row customHeight="1" ht="1.05">
      <c r="C10" s="96"/>
      <c r="D10" s="91"/>
      <c r="E10" s="91"/>
      <c r="J10" s="73">
        <v>1</v>
      </c>
    </row>
    <row customHeight="1" ht="11.25" hidden="1">
      <c r="C11" s="96"/>
      <c r="D11" s="154">
        <v>0</v>
      </c>
      <c r="E11" s="265"/>
      <c r="J11" s="73">
        <v>0</v>
      </c>
    </row>
    <row customHeight="1" ht="15.75">
      <c r="C12" s="140"/>
      <c r="D12" s="117">
        <v>1</v>
      </c>
      <c r="E12" s="381"/>
      <c r="J12" s="73">
        <v>15</v>
      </c>
    </row>
    <row customHeight="1" ht="12.75">
      <c r="C13" s="96"/>
      <c r="D13" s="266"/>
      <c r="E13" s="267" t="s">
        <v>2192</v>
      </c>
      <c r="J13" s="73">
        <v>12</v>
      </c>
    </row>
    <row customHeight="1" ht="3">
      <c r="J14" s="73">
        <v>3</v>
      </c>
    </row>
    <row customHeight="1" ht="23.25">
      <c r="C15" s="141"/>
      <c r="D15" s="2503" t="s">
        <v>2193</v>
      </c>
      <c r="E15" s="2503"/>
      <c r="F15" s="142"/>
      <c r="G15" s="142"/>
      <c r="H15" s="142"/>
      <c r="I15" s="142"/>
      <c r="J15" s="73">
        <v>22</v>
      </c>
    </row>
    <row customHeight="1" ht="14.25" hidden="1">
      <c r="A16" s="73" t="s">
        <v>82</v>
      </c>
      <c r="B16" s="73">
        <v>0</v>
      </c>
      <c r="C16" s="95">
        <v>3</v>
      </c>
      <c r="D16" s="73">
        <v>6</v>
      </c>
      <c r="E16" s="73">
        <v>94</v>
      </c>
      <c r="F16" s="73">
        <v>8</v>
      </c>
      <c r="G16" s="73">
        <v>8</v>
      </c>
      <c r="H16" s="73">
        <v>8</v>
      </c>
      <c r="I16" s="73">
        <v>8</v>
      </c>
      <c r="J16" s="7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5904C4-6EF7-ADFD-6448-F42E7236FBFC}" mc:Ignorable="x14ac xr xr2 xr3">
  <sheetPr>
    <tabColor rgb="FFCCCCFF"/>
    <pageSetUpPr fitToPage="1"/>
  </sheetPr>
  <dimension ref="A1:M19"/>
  <sheetViews>
    <sheetView topLeftCell="C6" showGridLines="0" zoomScale="90" workbookViewId="0">
      <selection activeCell="C18" sqref="C18"/>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12" style="268" width="8.00390625" customWidth="1"/>
    <col min="13" max="13" style="268" width="9.140625" hidden="1"/>
  </cols>
  <sheetData>
    <row customHeight="1" ht="14.25" hidden="1">
      <c r="L1" s="268"/>
      <c r="M1" s="73" t="s">
        <v>14</v>
      </c>
    </row>
    <row customHeight="1" ht="14.25" hidden="1">
      <c r="M2" s="73">
        <v>0</v>
      </c>
    </row>
    <row customHeight="1" ht="14.25" hidden="1">
      <c r="M3" s="73">
        <v>0</v>
      </c>
    </row>
    <row customHeight="1" ht="14.25" hidden="1">
      <c r="M4" s="73">
        <v>0</v>
      </c>
    </row>
    <row customHeight="1" ht="14.25" hidden="1">
      <c r="M5" s="73">
        <v>0</v>
      </c>
    </row>
    <row customHeight="1" ht="3">
      <c r="C6" s="96"/>
      <c r="D6" s="74"/>
      <c r="E6" s="74"/>
      <c r="M6" s="73">
        <v>3</v>
      </c>
    </row>
    <row customHeight="1" ht="23.25">
      <c r="C7" s="96"/>
      <c r="D7" s="2104" t="s">
        <v>2194</v>
      </c>
      <c r="E7" s="2104"/>
      <c r="F7" s="271"/>
      <c r="M7" s="73">
        <v>22</v>
      </c>
    </row>
    <row customHeight="1" ht="3">
      <c r="C8" s="96"/>
      <c r="D8" s="74"/>
      <c r="E8" s="74"/>
      <c r="M8" s="73">
        <v>3</v>
      </c>
    </row>
    <row customHeight="1" ht="16.8">
      <c r="C9" s="96"/>
      <c r="D9" s="109" t="s">
        <v>88</v>
      </c>
      <c r="E9" s="112" t="s">
        <v>305</v>
      </c>
      <c r="M9" s="73">
        <v>16</v>
      </c>
    </row>
    <row customHeight="1" ht="12.75">
      <c r="C10" s="96"/>
      <c r="D10" s="91" t="s">
        <v>119</v>
      </c>
      <c r="E10" s="91" t="s">
        <v>103</v>
      </c>
      <c r="M10" s="73">
        <v>12</v>
      </c>
    </row>
    <row customHeight="1" ht="15" hidden="1">
      <c r="C11" s="96"/>
      <c r="D11" s="117">
        <v>0</v>
      </c>
      <c r="E11" s="153"/>
      <c r="M11" s="73">
        <v>0</v>
      </c>
    </row>
    <row customHeight="1" ht="39.99999999999999">
      <c r="A12" s="268"/>
      <c r="B12" s="268"/>
      <c r="C12" s="1821" t="s">
        <v>104</v>
      </c>
      <c r="D12" s="117" t="s">
        <v>119</v>
      </c>
      <c r="E12" s="118" t="s">
        <v>2195</v>
      </c>
      <c r="F12" s="268"/>
      <c r="G12" s="268"/>
      <c r="H12" s="268"/>
      <c r="I12" s="268"/>
      <c r="J12" s="268"/>
      <c r="K12" s="268"/>
      <c r="L12" s="268"/>
      <c r="M12" s="268"/>
    </row>
    <row customHeight="1" ht="39.99999999999999">
      <c r="A13" s="268"/>
      <c r="B13" s="268"/>
      <c r="C13" s="1821" t="s">
        <v>104</v>
      </c>
      <c r="D13" s="117" t="s">
        <v>103</v>
      </c>
      <c r="E13" s="118" t="s">
        <v>2196</v>
      </c>
      <c r="F13" s="268"/>
      <c r="G13" s="268"/>
      <c r="H13" s="268"/>
      <c r="I13" s="268"/>
      <c r="J13" s="268"/>
      <c r="K13" s="268"/>
      <c r="L13" s="268"/>
      <c r="M13" s="268"/>
    </row>
    <row customHeight="1" ht="37.5">
      <c r="A14" s="268"/>
      <c r="B14" s="268"/>
      <c r="C14" s="1821" t="s">
        <v>104</v>
      </c>
      <c r="D14" s="117" t="s">
        <v>90</v>
      </c>
      <c r="E14" s="118" t="s">
        <v>2197</v>
      </c>
      <c r="F14" s="268"/>
      <c r="G14" s="268"/>
      <c r="H14" s="268"/>
      <c r="I14" s="268"/>
      <c r="J14" s="268"/>
      <c r="K14" s="268"/>
      <c r="L14" s="268"/>
      <c r="M14" s="268"/>
    </row>
    <row customHeight="1" ht="42.5">
      <c r="A15" s="268"/>
      <c r="B15" s="268"/>
      <c r="C15" s="1821" t="s">
        <v>104</v>
      </c>
      <c r="D15" s="117" t="s">
        <v>91</v>
      </c>
      <c r="E15" s="118" t="s">
        <v>2198</v>
      </c>
      <c r="F15" s="268"/>
      <c r="G15" s="268"/>
      <c r="H15" s="268"/>
      <c r="I15" s="268"/>
      <c r="J15" s="268"/>
      <c r="K15" s="268"/>
      <c r="L15" s="268"/>
      <c r="M15" s="268"/>
    </row>
    <row customHeight="1" ht="28.333333333333332">
      <c r="A16" s="268"/>
      <c r="B16" s="268"/>
      <c r="C16" s="1821" t="s">
        <v>104</v>
      </c>
      <c r="D16" s="117" t="s">
        <v>120</v>
      </c>
      <c r="E16" s="118" t="s">
        <v>2199</v>
      </c>
      <c r="F16" s="268"/>
      <c r="G16" s="268"/>
      <c r="H16" s="268"/>
      <c r="I16" s="268"/>
      <c r="J16" s="268"/>
      <c r="K16" s="268"/>
      <c r="L16" s="268"/>
      <c r="M16" s="268"/>
    </row>
    <row customHeight="1" ht="26.666666666666668">
      <c r="A17" s="268"/>
      <c r="B17" s="268"/>
      <c r="C17" s="1821" t="s">
        <v>104</v>
      </c>
      <c r="D17" s="117" t="s">
        <v>92</v>
      </c>
      <c r="E17" s="118" t="s">
        <v>2200</v>
      </c>
      <c r="F17" s="268"/>
      <c r="G17" s="268"/>
      <c r="H17" s="268"/>
      <c r="I17" s="268"/>
      <c r="J17" s="268"/>
      <c r="K17" s="268"/>
      <c r="L17" s="268"/>
      <c r="M17" s="268"/>
    </row>
    <row customHeight="1" ht="14.699999999999998">
      <c r="C18" s="96"/>
      <c r="D18" s="113"/>
      <c r="E18" s="111" t="s">
        <v>2192</v>
      </c>
      <c r="M18" s="73">
        <v>14</v>
      </c>
    </row>
    <row customHeight="1" ht="14.25" hidden="1">
      <c r="A19" s="73" t="s">
        <v>82</v>
      </c>
      <c r="B19" s="73">
        <v>0</v>
      </c>
      <c r="C19" s="95">
        <v>3</v>
      </c>
      <c r="D19" s="73">
        <v>6</v>
      </c>
      <c r="E19" s="73">
        <v>94</v>
      </c>
      <c r="F19" s="73">
        <v>8</v>
      </c>
      <c r="G19" s="73">
        <v>8</v>
      </c>
      <c r="H19" s="73">
        <v>8</v>
      </c>
      <c r="I19" s="73">
        <v>8</v>
      </c>
      <c r="J19" s="73">
        <v>8</v>
      </c>
      <c r="K19" s="73">
        <v>8</v>
      </c>
      <c r="L19" s="73">
        <v>8</v>
      </c>
      <c r="M19" s="73">
        <v>14</v>
      </c>
    </row>
  </sheetData>
  <sheetProtection formatColumns="0" formatRows="0" autoFilter="0" sort="0" insertRows="0" insertColumns="1" deleteRows="0" deleteColumns="0"/>
  <mergeCells count="1">
    <mergeCell ref="D7:E7"/>
  </mergeCells>
  <dataValidations count="7">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9AAC8C-5899-B0D3-16BB-706971161B8F}"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2" width="8.00390625" customWidth="1"/>
    <col min="38" max="64" style="1854" width="8.00390625" customWidth="1"/>
    <col min="65" max="65" style="1854" width="9.140625" hidden="1"/>
  </cols>
  <sheetData>
    <row s="1320" customFormat="1" customHeight="1" ht="11.25" hidden="1">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3" t="s">
        <v>14</v>
      </c>
    </row>
    <row s="1557" customFormat="1" customHeight="1" ht="11.25" hidden="1">
      <c r="L2" s="1557" t="s">
        <v>297</v>
      </c>
      <c r="M2" s="1557" t="s">
        <v>298</v>
      </c>
      <c r="R2" s="1557" t="s">
        <v>299</v>
      </c>
      <c r="S2" s="1557" t="s">
        <v>298</v>
      </c>
      <c r="X2" s="1557" t="s">
        <v>297</v>
      </c>
      <c r="Y2" s="1557" t="s">
        <v>298</v>
      </c>
      <c r="AD2" s="1557" t="s">
        <v>297</v>
      </c>
      <c r="AE2" s="1557" t="s">
        <v>298</v>
      </c>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57">
        <v>0</v>
      </c>
    </row>
    <row s="1558" customFormat="1" customHeight="1" ht="11.549999999999999">
      <c r="AJ3" s="1578"/>
      <c r="AK3" s="310"/>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58">
        <v>11</v>
      </c>
    </row>
    <row s="1823" customFormat="1" customHeight="1" ht="34.5">
      <c r="A4" s="1160"/>
      <c r="B4" s="1159"/>
      <c r="C4" s="1519"/>
      <c r="D4" s="2195" t="s">
        <v>300</v>
      </c>
      <c r="E4" s="2195"/>
      <c r="F4" s="2195"/>
      <c r="G4" s="2195"/>
      <c r="H4" s="2195"/>
      <c r="I4" s="2195"/>
      <c r="J4" s="2195"/>
      <c r="K4" s="703"/>
      <c r="T4" s="1559"/>
      <c r="AJ4" s="1580"/>
      <c r="AK4" s="1581"/>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511">
        <v>33</v>
      </c>
    </row>
    <row s="1823" customFormat="1" customHeight="1" ht="14.699999999999998">
      <c r="A5" s="1636"/>
      <c r="B5" s="1635"/>
      <c r="C5" s="1519"/>
      <c r="D5" s="2180" t="str">
        <f>IF(org=0,"Не определено",org)</f>
        <v>АО "Теплоэнерго"</v>
      </c>
      <c r="E5" s="2180"/>
      <c r="F5" s="2180"/>
      <c r="G5" s="2180"/>
      <c r="H5" s="2180"/>
      <c r="I5" s="2180"/>
      <c r="J5" s="2180"/>
      <c r="K5" s="703"/>
      <c r="T5" s="1559"/>
      <c r="AJ5" s="1580"/>
      <c r="AK5" s="1581"/>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613">
        <v>14</v>
      </c>
    </row>
    <row s="1823" customFormat="1" customHeight="1" ht="14.699999999999998">
      <c r="A6" s="1160"/>
      <c r="B6" s="1159"/>
      <c r="C6" s="1519"/>
      <c r="D6" s="703"/>
      <c r="E6" s="703"/>
      <c r="F6" s="703"/>
      <c r="G6" s="703"/>
      <c r="H6" s="703"/>
      <c r="I6" s="703"/>
      <c r="J6" s="703"/>
      <c r="K6" s="703"/>
      <c r="T6" s="1559"/>
      <c r="AJ6" s="1580"/>
      <c r="AK6" s="1581"/>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511">
        <v>14</v>
      </c>
    </row>
    <row s="1320" customFormat="1" customHeight="1" ht="1.05">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3">
        <v>1</v>
      </c>
    </row>
    <row customHeight="1" ht="33.75">
      <c r="D8" s="2131" t="s">
        <v>88</v>
      </c>
      <c r="E8" s="2131" t="s">
        <v>115</v>
      </c>
      <c r="F8" s="2196" t="s">
        <v>142</v>
      </c>
      <c r="G8" s="2197"/>
      <c r="H8" s="2196" t="s">
        <v>88</v>
      </c>
      <c r="I8" s="2197"/>
      <c r="J8" s="2131" t="s">
        <v>143</v>
      </c>
      <c r="K8" s="1560"/>
      <c r="L8" s="2200" t="s">
        <v>301</v>
      </c>
      <c r="M8" s="2200"/>
      <c r="N8" s="2200"/>
      <c r="O8" s="2200"/>
      <c r="P8" s="2200"/>
      <c r="Q8" s="1561"/>
      <c r="R8" s="2100" t="s">
        <v>302</v>
      </c>
      <c r="S8" s="2201"/>
      <c r="T8" s="2201"/>
      <c r="U8" s="2201"/>
      <c r="V8" s="2201"/>
      <c r="W8" s="1561"/>
      <c r="X8" s="2202" t="s">
        <v>303</v>
      </c>
      <c r="Y8" s="2202"/>
      <c r="Z8" s="2202"/>
      <c r="AA8" s="2202"/>
      <c r="AB8" s="2202"/>
      <c r="AC8" s="1562"/>
      <c r="AD8" s="2131" t="s">
        <v>304</v>
      </c>
      <c r="AE8" s="2131"/>
      <c r="AF8" s="2131"/>
      <c r="AG8" s="2131"/>
      <c r="AH8" s="2105"/>
      <c r="AI8" s="2131" t="s">
        <v>305</v>
      </c>
      <c r="AJ8" s="1578"/>
      <c r="BM8" s="297">
        <v>32</v>
      </c>
    </row>
    <row customHeight="1" ht="23.25">
      <c r="D9" s="2131"/>
      <c r="E9" s="2131"/>
      <c r="F9" s="2179" t="s">
        <v>89</v>
      </c>
      <c r="G9" s="2179" t="s">
        <v>148</v>
      </c>
      <c r="H9" s="2198"/>
      <c r="I9" s="2199"/>
      <c r="J9" s="2105"/>
      <c r="K9" s="1563"/>
      <c r="L9" s="2131" t="s">
        <v>306</v>
      </c>
      <c r="M9" s="2105"/>
      <c r="N9" s="2196" t="s">
        <v>88</v>
      </c>
      <c r="O9" s="2197"/>
      <c r="P9" s="2131" t="s">
        <v>149</v>
      </c>
      <c r="Q9" s="1560"/>
      <c r="R9" s="2131" t="s">
        <v>306</v>
      </c>
      <c r="S9" s="2105"/>
      <c r="T9" s="2196" t="s">
        <v>88</v>
      </c>
      <c r="U9" s="2197"/>
      <c r="V9" s="2131" t="s">
        <v>149</v>
      </c>
      <c r="W9" s="1560"/>
      <c r="X9" s="2131" t="s">
        <v>306</v>
      </c>
      <c r="Y9" s="2105"/>
      <c r="Z9" s="2196" t="s">
        <v>88</v>
      </c>
      <c r="AA9" s="2197"/>
      <c r="AB9" s="2131" t="s">
        <v>307</v>
      </c>
      <c r="AC9" s="1560"/>
      <c r="AD9" s="2131" t="s">
        <v>306</v>
      </c>
      <c r="AE9" s="2105"/>
      <c r="AF9" s="2196" t="s">
        <v>88</v>
      </c>
      <c r="AG9" s="2197"/>
      <c r="AH9" s="2105" t="s">
        <v>307</v>
      </c>
      <c r="AI9" s="2131"/>
      <c r="AJ9" s="1578"/>
      <c r="BM9" s="297">
        <v>22</v>
      </c>
    </row>
    <row customHeight="1" ht="24">
      <c r="D10" s="2179"/>
      <c r="E10" s="2179"/>
      <c r="F10" s="2203"/>
      <c r="G10" s="2203"/>
      <c r="H10" s="2204"/>
      <c r="I10" s="2205"/>
      <c r="J10" s="2196"/>
      <c r="K10" s="1563"/>
      <c r="L10" s="1582" t="s">
        <v>308</v>
      </c>
      <c r="M10" s="1577" t="s">
        <v>309</v>
      </c>
      <c r="N10" s="2198"/>
      <c r="O10" s="2199"/>
      <c r="P10" s="2179"/>
      <c r="Q10" s="1560"/>
      <c r="R10" s="1582" t="s">
        <v>308</v>
      </c>
      <c r="S10" s="1577" t="s">
        <v>309</v>
      </c>
      <c r="T10" s="2198"/>
      <c r="U10" s="2199"/>
      <c r="V10" s="2179"/>
      <c r="W10" s="1560"/>
      <c r="X10" s="1582" t="s">
        <v>308</v>
      </c>
      <c r="Y10" s="1577" t="s">
        <v>309</v>
      </c>
      <c r="Z10" s="2198"/>
      <c r="AA10" s="2199"/>
      <c r="AB10" s="2179"/>
      <c r="AC10" s="1560"/>
      <c r="AD10" s="1582" t="s">
        <v>308</v>
      </c>
      <c r="AE10" s="1577" t="s">
        <v>309</v>
      </c>
      <c r="AF10" s="2198"/>
      <c r="AG10" s="2199"/>
      <c r="AH10" s="2196"/>
      <c r="AI10" s="2179"/>
      <c r="AJ10" s="1578"/>
      <c r="AK10" s="258" t="s">
        <v>310</v>
      </c>
      <c r="AL10" s="258" t="s">
        <v>150</v>
      </c>
      <c r="BM10" s="297">
        <v>23</v>
      </c>
    </row>
    <row customHeight="1" ht="15">
      <c r="D11" s="2187" t="s">
        <v>119</v>
      </c>
      <c r="E11" s="2183" t="s">
        <v>311</v>
      </c>
      <c r="F11" s="2183" t="s">
        <v>312</v>
      </c>
      <c r="G11" s="2189" t="s">
        <v>19</v>
      </c>
      <c r="H11" s="1603"/>
      <c r="I11" s="2185"/>
      <c r="J11" s="2156"/>
      <c r="K11" s="1518"/>
      <c r="L11" s="2141"/>
      <c r="M11" s="2141"/>
      <c r="N11" s="1588"/>
      <c r="O11" s="2141"/>
      <c r="P11" s="2156"/>
      <c r="Q11" s="1589"/>
      <c r="R11" s="2141"/>
      <c r="S11" s="2141"/>
      <c r="T11" s="1590"/>
      <c r="U11" s="2141"/>
      <c r="V11" s="2156"/>
      <c r="W11" s="1591"/>
      <c r="X11" s="2141"/>
      <c r="Y11" s="2141"/>
      <c r="Z11" s="1588"/>
      <c r="AA11" s="2141"/>
      <c r="AB11" s="2156"/>
      <c r="AC11" s="1592"/>
      <c r="AD11" s="2141"/>
      <c r="AE11" s="2141"/>
      <c r="AF11" s="1517"/>
      <c r="AG11" s="1517"/>
      <c r="AH11" s="1593"/>
      <c r="AI11" s="1300"/>
      <c r="AJ11" s="1578"/>
      <c r="BM11" s="297">
        <v>14</v>
      </c>
    </row>
    <row customHeight="1" ht="14.699999999999998">
      <c r="D12" s="2187"/>
      <c r="E12" s="2183"/>
      <c r="F12" s="2183"/>
      <c r="G12" s="2190"/>
      <c r="H12" s="1604"/>
      <c r="I12" s="2186"/>
      <c r="J12" s="2157"/>
      <c r="K12" s="1614"/>
      <c r="L12" s="2142"/>
      <c r="M12" s="2142"/>
      <c r="N12" s="1594"/>
      <c r="O12" s="2142"/>
      <c r="P12" s="2157"/>
      <c r="Q12" s="1595"/>
      <c r="R12" s="2142"/>
      <c r="S12" s="2142"/>
      <c r="T12" s="1596"/>
      <c r="U12" s="2142"/>
      <c r="V12" s="2157"/>
      <c r="W12" s="1597"/>
      <c r="X12" s="2142"/>
      <c r="Y12" s="2142"/>
      <c r="Z12" s="1594"/>
      <c r="AA12" s="2142"/>
      <c r="AB12" s="2157"/>
      <c r="AC12" s="1598"/>
      <c r="AD12" s="2142"/>
      <c r="AE12" s="2142"/>
      <c r="AF12" s="1599"/>
      <c r="AG12" s="1599"/>
      <c r="AH12" s="2181"/>
      <c r="AI12" s="2182"/>
      <c r="AJ12" s="1578"/>
      <c r="BM12" s="297">
        <v>14</v>
      </c>
    </row>
    <row customHeight="1" ht="14.699999999999998">
      <c r="D13" s="2187"/>
      <c r="E13" s="2183"/>
      <c r="F13" s="2183"/>
      <c r="G13" s="2190"/>
      <c r="H13" s="1604"/>
      <c r="I13" s="2186"/>
      <c r="J13" s="2157"/>
      <c r="K13" s="1614"/>
      <c r="L13" s="2142"/>
      <c r="M13" s="2142"/>
      <c r="N13" s="1594"/>
      <c r="O13" s="2142"/>
      <c r="P13" s="2157"/>
      <c r="Q13" s="1595"/>
      <c r="R13" s="2142"/>
      <c r="S13" s="2142"/>
      <c r="T13" s="1596"/>
      <c r="U13" s="2142"/>
      <c r="V13" s="2157"/>
      <c r="W13" s="1597"/>
      <c r="X13" s="2142"/>
      <c r="Y13" s="2142"/>
      <c r="Z13" s="1516"/>
      <c r="AA13" s="1599"/>
      <c r="AB13" s="2181"/>
      <c r="AC13" s="2181"/>
      <c r="AD13" s="2181"/>
      <c r="AE13" s="2181"/>
      <c r="AF13" s="2181"/>
      <c r="AG13" s="2181"/>
      <c r="AH13" s="2181"/>
      <c r="AI13" s="2182"/>
      <c r="AJ13" s="1578"/>
      <c r="BM13" s="297">
        <v>14</v>
      </c>
    </row>
    <row customHeight="1" ht="14.699999999999998">
      <c r="D14" s="2187"/>
      <c r="E14" s="2183"/>
      <c r="F14" s="2183"/>
      <c r="G14" s="2190"/>
      <c r="H14" s="1604"/>
      <c r="I14" s="2186"/>
      <c r="J14" s="2157"/>
      <c r="K14" s="1614"/>
      <c r="L14" s="2142"/>
      <c r="M14" s="2142"/>
      <c r="N14" s="1594"/>
      <c r="O14" s="2142"/>
      <c r="P14" s="2157"/>
      <c r="Q14" s="1595"/>
      <c r="R14" s="2142"/>
      <c r="S14" s="2142"/>
      <c r="T14" s="1600"/>
      <c r="U14" s="1601"/>
      <c r="V14" s="2181"/>
      <c r="W14" s="2181"/>
      <c r="X14" s="2181"/>
      <c r="Y14" s="2181"/>
      <c r="Z14" s="2181"/>
      <c r="AA14" s="2181"/>
      <c r="AB14" s="2181"/>
      <c r="AC14" s="2181"/>
      <c r="AD14" s="2181"/>
      <c r="AE14" s="2181"/>
      <c r="AF14" s="2181"/>
      <c r="AG14" s="2181"/>
      <c r="AH14" s="2181"/>
      <c r="AI14" s="2182"/>
      <c r="AJ14" s="1578"/>
      <c r="BM14" s="297">
        <v>14</v>
      </c>
    </row>
    <row customHeight="1" ht="11.549999999999999">
      <c r="D15" s="2187"/>
      <c r="E15" s="2183"/>
      <c r="F15" s="2183"/>
      <c r="G15" s="2190"/>
      <c r="H15" s="1605"/>
      <c r="I15" s="2186"/>
      <c r="J15" s="2157"/>
      <c r="K15" s="1614"/>
      <c r="L15" s="2142"/>
      <c r="M15" s="2142"/>
      <c r="N15" s="1599"/>
      <c r="O15" s="1599"/>
      <c r="P15" s="2181"/>
      <c r="Q15" s="2181"/>
      <c r="R15" s="2181"/>
      <c r="S15" s="2181"/>
      <c r="T15" s="2181"/>
      <c r="U15" s="2181"/>
      <c r="V15" s="2181"/>
      <c r="W15" s="2181"/>
      <c r="X15" s="2181"/>
      <c r="Y15" s="2181"/>
      <c r="Z15" s="2181"/>
      <c r="AA15" s="2181"/>
      <c r="AB15" s="2181"/>
      <c r="AC15" s="2181"/>
      <c r="AD15" s="2181"/>
      <c r="AE15" s="2181"/>
      <c r="AF15" s="2181"/>
      <c r="AG15" s="2181"/>
      <c r="AH15" s="2181"/>
      <c r="AI15" s="2182"/>
      <c r="AJ15" s="1578"/>
      <c r="BM15" s="297">
        <v>11</v>
      </c>
    </row>
    <row s="1558" customFormat="1" customHeight="1" ht="11.549999999999999">
      <c r="D16" s="2193"/>
      <c r="E16" s="2194"/>
      <c r="F16" s="2184"/>
      <c r="G16" s="2116"/>
      <c r="H16" s="1602"/>
      <c r="I16" s="1606"/>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2"/>
      <c r="AJ16" s="1578"/>
      <c r="AK16" s="310"/>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58">
        <v>11</v>
      </c>
    </row>
    <row customHeight="1" ht="15">
      <c r="D17" s="2187" t="s">
        <v>103</v>
      </c>
      <c r="E17" s="2183" t="s">
        <v>311</v>
      </c>
      <c r="F17" s="2183" t="s">
        <v>313</v>
      </c>
      <c r="G17" s="2189" t="s">
        <v>19</v>
      </c>
      <c r="H17" s="1603"/>
      <c r="I17" s="2185"/>
      <c r="J17" s="2156"/>
      <c r="K17" s="1518"/>
      <c r="L17" s="2141"/>
      <c r="M17" s="2141"/>
      <c r="N17" s="1588"/>
      <c r="O17" s="2141"/>
      <c r="P17" s="2156"/>
      <c r="Q17" s="1589"/>
      <c r="R17" s="2141"/>
      <c r="S17" s="2141"/>
      <c r="T17" s="1590"/>
      <c r="U17" s="2141"/>
      <c r="V17" s="2156"/>
      <c r="W17" s="1591"/>
      <c r="X17" s="2141"/>
      <c r="Y17" s="2141"/>
      <c r="Z17" s="1588"/>
      <c r="AA17" s="2141"/>
      <c r="AB17" s="2156"/>
      <c r="AC17" s="1592"/>
      <c r="AD17" s="2141"/>
      <c r="AE17" s="2141"/>
      <c r="AF17" s="1517"/>
      <c r="AG17" s="1517"/>
      <c r="AH17" s="1593"/>
      <c r="AI17" s="1300"/>
      <c r="AJ17" s="1578"/>
      <c r="BM17" s="297">
        <v>14</v>
      </c>
    </row>
    <row customHeight="1" ht="14.699999999999998">
      <c r="D18" s="2187"/>
      <c r="E18" s="2183"/>
      <c r="F18" s="2183"/>
      <c r="G18" s="2190"/>
      <c r="H18" s="1604"/>
      <c r="I18" s="2186"/>
      <c r="J18" s="2157"/>
      <c r="K18" s="1587"/>
      <c r="L18" s="2142"/>
      <c r="M18" s="2142"/>
      <c r="N18" s="1594"/>
      <c r="O18" s="2142"/>
      <c r="P18" s="2157"/>
      <c r="Q18" s="1595"/>
      <c r="R18" s="2142"/>
      <c r="S18" s="2142"/>
      <c r="T18" s="1596"/>
      <c r="U18" s="2142"/>
      <c r="V18" s="2157"/>
      <c r="W18" s="1597"/>
      <c r="X18" s="2142"/>
      <c r="Y18" s="2142"/>
      <c r="Z18" s="1594"/>
      <c r="AA18" s="2142"/>
      <c r="AB18" s="2157"/>
      <c r="AC18" s="1598"/>
      <c r="AD18" s="2142"/>
      <c r="AE18" s="2142"/>
      <c r="AF18" s="1599"/>
      <c r="AG18" s="1599"/>
      <c r="AH18" s="2181"/>
      <c r="AI18" s="2182"/>
      <c r="AJ18" s="1578"/>
      <c r="BM18" s="297">
        <v>14</v>
      </c>
    </row>
    <row customHeight="1" ht="14.699999999999998">
      <c r="D19" s="2187"/>
      <c r="E19" s="2183"/>
      <c r="F19" s="2183"/>
      <c r="G19" s="2190"/>
      <c r="H19" s="1604"/>
      <c r="I19" s="2186"/>
      <c r="J19" s="2157"/>
      <c r="K19" s="1587"/>
      <c r="L19" s="2142"/>
      <c r="M19" s="2142"/>
      <c r="N19" s="1594"/>
      <c r="O19" s="2142"/>
      <c r="P19" s="2157"/>
      <c r="Q19" s="1595"/>
      <c r="R19" s="2142"/>
      <c r="S19" s="2142"/>
      <c r="T19" s="1596"/>
      <c r="U19" s="2142"/>
      <c r="V19" s="2157"/>
      <c r="W19" s="1597"/>
      <c r="X19" s="2142"/>
      <c r="Y19" s="2142"/>
      <c r="Z19" s="1516"/>
      <c r="AA19" s="1599"/>
      <c r="AB19" s="2181"/>
      <c r="AC19" s="2181"/>
      <c r="AD19" s="2181"/>
      <c r="AE19" s="2181"/>
      <c r="AF19" s="2181"/>
      <c r="AG19" s="2181"/>
      <c r="AH19" s="2181"/>
      <c r="AI19" s="2182"/>
      <c r="AJ19" s="1578"/>
      <c r="BM19" s="297">
        <v>14</v>
      </c>
    </row>
    <row customHeight="1" ht="14.699999999999998">
      <c r="D20" s="2187"/>
      <c r="E20" s="2183"/>
      <c r="F20" s="2183"/>
      <c r="G20" s="2190"/>
      <c r="H20" s="1604"/>
      <c r="I20" s="2186"/>
      <c r="J20" s="2157"/>
      <c r="K20" s="1587"/>
      <c r="L20" s="2142"/>
      <c r="M20" s="2142"/>
      <c r="N20" s="1594"/>
      <c r="O20" s="2142"/>
      <c r="P20" s="2157"/>
      <c r="Q20" s="1595"/>
      <c r="R20" s="2142"/>
      <c r="S20" s="2142"/>
      <c r="T20" s="1600"/>
      <c r="U20" s="1601"/>
      <c r="V20" s="2181"/>
      <c r="W20" s="2181"/>
      <c r="X20" s="2181"/>
      <c r="Y20" s="2181"/>
      <c r="Z20" s="2181"/>
      <c r="AA20" s="2181"/>
      <c r="AB20" s="2181"/>
      <c r="AC20" s="2181"/>
      <c r="AD20" s="2181"/>
      <c r="AE20" s="2181"/>
      <c r="AF20" s="2181"/>
      <c r="AG20" s="2181"/>
      <c r="AH20" s="2181"/>
      <c r="AI20" s="2182"/>
      <c r="AJ20" s="1578"/>
      <c r="BM20" s="297">
        <v>14</v>
      </c>
    </row>
    <row customHeight="1" ht="11.549999999999999">
      <c r="D21" s="2187"/>
      <c r="E21" s="2183"/>
      <c r="F21" s="2183"/>
      <c r="G21" s="2190"/>
      <c r="H21" s="1605"/>
      <c r="I21" s="2186"/>
      <c r="J21" s="2157"/>
      <c r="K21" s="1587"/>
      <c r="L21" s="2142"/>
      <c r="M21" s="2142"/>
      <c r="N21" s="1599"/>
      <c r="O21" s="1599"/>
      <c r="P21" s="2181"/>
      <c r="Q21" s="2181"/>
      <c r="R21" s="2181"/>
      <c r="S21" s="2181"/>
      <c r="T21" s="2181"/>
      <c r="U21" s="2181"/>
      <c r="V21" s="2181"/>
      <c r="W21" s="2181"/>
      <c r="X21" s="2181"/>
      <c r="Y21" s="2181"/>
      <c r="Z21" s="2181"/>
      <c r="AA21" s="2181"/>
      <c r="AB21" s="2181"/>
      <c r="AC21" s="2181"/>
      <c r="AD21" s="2181"/>
      <c r="AE21" s="2181"/>
      <c r="AF21" s="2181"/>
      <c r="AG21" s="2181"/>
      <c r="AH21" s="2181"/>
      <c r="AI21" s="2182"/>
      <c r="AJ21" s="1578"/>
      <c r="BM21" s="297">
        <v>11</v>
      </c>
    </row>
    <row s="1558" customFormat="1" customHeight="1" ht="11.549999999999999">
      <c r="D22" s="2193"/>
      <c r="E22" s="2194"/>
      <c r="F22" s="2184"/>
      <c r="G22" s="2116"/>
      <c r="H22" s="1602"/>
      <c r="I22" s="1606"/>
      <c r="J22" s="2191"/>
      <c r="K22" s="2191"/>
      <c r="L22" s="2191"/>
      <c r="M22" s="2191"/>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2"/>
      <c r="AJ22" s="1578"/>
      <c r="AK22" s="310"/>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58">
        <v>11</v>
      </c>
    </row>
    <row customHeight="1" ht="15">
      <c r="D23" s="2187" t="s">
        <v>90</v>
      </c>
      <c r="E23" s="2183" t="s">
        <v>311</v>
      </c>
      <c r="F23" s="2183" t="s">
        <v>314</v>
      </c>
      <c r="G23" s="2189" t="s">
        <v>19</v>
      </c>
      <c r="H23" s="1603"/>
      <c r="I23" s="2185"/>
      <c r="J23" s="2156"/>
      <c r="K23" s="1518"/>
      <c r="L23" s="2141"/>
      <c r="M23" s="2141"/>
      <c r="N23" s="1588"/>
      <c r="O23" s="2141"/>
      <c r="P23" s="2156"/>
      <c r="Q23" s="1589"/>
      <c r="R23" s="2141"/>
      <c r="S23" s="2141"/>
      <c r="T23" s="1590"/>
      <c r="U23" s="2141"/>
      <c r="V23" s="2156"/>
      <c r="W23" s="1591"/>
      <c r="X23" s="2141"/>
      <c r="Y23" s="2141"/>
      <c r="Z23" s="1588"/>
      <c r="AA23" s="2141"/>
      <c r="AB23" s="2156"/>
      <c r="AC23" s="1592"/>
      <c r="AD23" s="2141"/>
      <c r="AE23" s="2141"/>
      <c r="AF23" s="1517"/>
      <c r="AG23" s="1517"/>
      <c r="AH23" s="1593"/>
      <c r="AI23" s="1300"/>
      <c r="AJ23" s="1578"/>
      <c r="AK23" s="310" t="s">
        <v>98</v>
      </c>
      <c r="BM23" s="297">
        <v>14</v>
      </c>
    </row>
    <row customHeight="1" ht="14.699999999999998">
      <c r="D24" s="2187"/>
      <c r="E24" s="2183"/>
      <c r="F24" s="2183"/>
      <c r="G24" s="2190"/>
      <c r="H24" s="1604"/>
      <c r="I24" s="2186"/>
      <c r="J24" s="2157"/>
      <c r="K24" s="1614"/>
      <c r="L24" s="2142"/>
      <c r="M24" s="2142"/>
      <c r="N24" s="1594"/>
      <c r="O24" s="2142"/>
      <c r="P24" s="2157"/>
      <c r="Q24" s="1595"/>
      <c r="R24" s="2142"/>
      <c r="S24" s="2142"/>
      <c r="T24" s="1596"/>
      <c r="U24" s="2142"/>
      <c r="V24" s="2157"/>
      <c r="W24" s="1597"/>
      <c r="X24" s="2142"/>
      <c r="Y24" s="2142"/>
      <c r="Z24" s="1594"/>
      <c r="AA24" s="2142"/>
      <c r="AB24" s="2157"/>
      <c r="AC24" s="1598"/>
      <c r="AD24" s="2142"/>
      <c r="AE24" s="2142"/>
      <c r="AF24" s="1599"/>
      <c r="AG24" s="1599"/>
      <c r="AH24" s="2181"/>
      <c r="AI24" s="2182"/>
      <c r="AJ24" s="1578"/>
      <c r="BM24" s="297">
        <v>14</v>
      </c>
    </row>
    <row customHeight="1" ht="14.699999999999998">
      <c r="D25" s="2187"/>
      <c r="E25" s="2183"/>
      <c r="F25" s="2183"/>
      <c r="G25" s="2190"/>
      <c r="H25" s="1604"/>
      <c r="I25" s="2186"/>
      <c r="J25" s="2157"/>
      <c r="K25" s="1614"/>
      <c r="L25" s="2142"/>
      <c r="M25" s="2142"/>
      <c r="N25" s="1594"/>
      <c r="O25" s="2142"/>
      <c r="P25" s="2157"/>
      <c r="Q25" s="1595"/>
      <c r="R25" s="2142"/>
      <c r="S25" s="2142"/>
      <c r="T25" s="1596"/>
      <c r="U25" s="2142"/>
      <c r="V25" s="2157"/>
      <c r="W25" s="1597"/>
      <c r="X25" s="2142"/>
      <c r="Y25" s="2142"/>
      <c r="Z25" s="1516"/>
      <c r="AA25" s="1599"/>
      <c r="AB25" s="2181"/>
      <c r="AC25" s="2181"/>
      <c r="AD25" s="2181"/>
      <c r="AE25" s="2181"/>
      <c r="AF25" s="2181"/>
      <c r="AG25" s="2181"/>
      <c r="AH25" s="2181"/>
      <c r="AI25" s="2182"/>
      <c r="AJ25" s="1578"/>
      <c r="BM25" s="297">
        <v>14</v>
      </c>
    </row>
    <row customHeight="1" ht="14.699999999999998">
      <c r="D26" s="2187"/>
      <c r="E26" s="2183"/>
      <c r="F26" s="2183"/>
      <c r="G26" s="2190"/>
      <c r="H26" s="1604"/>
      <c r="I26" s="2186"/>
      <c r="J26" s="2157"/>
      <c r="K26" s="1614"/>
      <c r="L26" s="2142"/>
      <c r="M26" s="2142"/>
      <c r="N26" s="1594"/>
      <c r="O26" s="2142"/>
      <c r="P26" s="2157"/>
      <c r="Q26" s="1595"/>
      <c r="R26" s="2142"/>
      <c r="S26" s="2142"/>
      <c r="T26" s="1600"/>
      <c r="U26" s="1601"/>
      <c r="V26" s="2181"/>
      <c r="W26" s="2181"/>
      <c r="X26" s="2181"/>
      <c r="Y26" s="2181"/>
      <c r="Z26" s="2181"/>
      <c r="AA26" s="2181"/>
      <c r="AB26" s="2181"/>
      <c r="AC26" s="2181"/>
      <c r="AD26" s="2181"/>
      <c r="AE26" s="2181"/>
      <c r="AF26" s="2181"/>
      <c r="AG26" s="2181"/>
      <c r="AH26" s="2181"/>
      <c r="AI26" s="2182"/>
      <c r="AJ26" s="1578"/>
      <c r="BM26" s="297">
        <v>14</v>
      </c>
    </row>
    <row customHeight="1" ht="11.549999999999999">
      <c r="D27" s="2187"/>
      <c r="E27" s="2183"/>
      <c r="F27" s="2183"/>
      <c r="G27" s="2190"/>
      <c r="H27" s="1605"/>
      <c r="I27" s="2186"/>
      <c r="J27" s="2157"/>
      <c r="K27" s="1614"/>
      <c r="L27" s="2142"/>
      <c r="M27" s="2142"/>
      <c r="N27" s="1599"/>
      <c r="O27" s="1599"/>
      <c r="P27" s="2181"/>
      <c r="Q27" s="2181"/>
      <c r="R27" s="2181"/>
      <c r="S27" s="2181"/>
      <c r="T27" s="2181"/>
      <c r="U27" s="2181"/>
      <c r="V27" s="2181"/>
      <c r="W27" s="2181"/>
      <c r="X27" s="2181"/>
      <c r="Y27" s="2181"/>
      <c r="Z27" s="2181"/>
      <c r="AA27" s="2181"/>
      <c r="AB27" s="2181"/>
      <c r="AC27" s="2181"/>
      <c r="AD27" s="2181"/>
      <c r="AE27" s="2181"/>
      <c r="AF27" s="2181"/>
      <c r="AG27" s="2181"/>
      <c r="AH27" s="2181"/>
      <c r="AI27" s="2182"/>
      <c r="AJ27" s="1578"/>
      <c r="BM27" s="297">
        <v>11</v>
      </c>
    </row>
    <row s="1558" customFormat="1" customHeight="1" ht="11.549999999999999">
      <c r="D28" s="2193"/>
      <c r="E28" s="2194"/>
      <c r="F28" s="2184"/>
      <c r="G28" s="2116"/>
      <c r="H28" s="1602"/>
      <c r="I28" s="1606"/>
      <c r="J28" s="2191"/>
      <c r="K28" s="2191"/>
      <c r="L28" s="2191"/>
      <c r="M28" s="2191"/>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2"/>
      <c r="AJ28" s="1578"/>
      <c r="AK28" s="310"/>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58">
        <v>11</v>
      </c>
    </row>
    <row customHeight="1" ht="15">
      <c r="D29" s="2187" t="s">
        <v>91</v>
      </c>
      <c r="E29" s="2183" t="s">
        <v>311</v>
      </c>
      <c r="F29" s="2183" t="s">
        <v>315</v>
      </c>
      <c r="G29" s="2189" t="s">
        <v>19</v>
      </c>
      <c r="H29" s="1603"/>
      <c r="I29" s="2185"/>
      <c r="J29" s="2156"/>
      <c r="K29" s="1518"/>
      <c r="L29" s="2141"/>
      <c r="M29" s="2141"/>
      <c r="N29" s="1588"/>
      <c r="O29" s="2141"/>
      <c r="P29" s="2156"/>
      <c r="Q29" s="1589"/>
      <c r="R29" s="2141"/>
      <c r="S29" s="2141"/>
      <c r="T29" s="1590"/>
      <c r="U29" s="2141"/>
      <c r="V29" s="2156"/>
      <c r="W29" s="1591"/>
      <c r="X29" s="2141"/>
      <c r="Y29" s="2141"/>
      <c r="Z29" s="1588"/>
      <c r="AA29" s="2141"/>
      <c r="AB29" s="2156"/>
      <c r="AC29" s="1592"/>
      <c r="AD29" s="2141"/>
      <c r="AE29" s="2141"/>
      <c r="AF29" s="1517"/>
      <c r="AG29" s="1517"/>
      <c r="AH29" s="1593"/>
      <c r="AI29" s="1300"/>
      <c r="AJ29" s="1578"/>
      <c r="BM29" s="297">
        <v>14</v>
      </c>
    </row>
    <row customHeight="1" ht="14.699999999999998">
      <c r="D30" s="2187"/>
      <c r="E30" s="2183"/>
      <c r="F30" s="2183"/>
      <c r="G30" s="2190"/>
      <c r="H30" s="1604"/>
      <c r="I30" s="2186"/>
      <c r="J30" s="2157"/>
      <c r="K30" s="1587"/>
      <c r="L30" s="2142"/>
      <c r="M30" s="2142"/>
      <c r="N30" s="1594"/>
      <c r="O30" s="2142"/>
      <c r="P30" s="2157"/>
      <c r="Q30" s="1595"/>
      <c r="R30" s="2142"/>
      <c r="S30" s="2142"/>
      <c r="T30" s="1596"/>
      <c r="U30" s="2142"/>
      <c r="V30" s="2157"/>
      <c r="W30" s="1597"/>
      <c r="X30" s="2142"/>
      <c r="Y30" s="2142"/>
      <c r="Z30" s="1594"/>
      <c r="AA30" s="2142"/>
      <c r="AB30" s="2157"/>
      <c r="AC30" s="1598"/>
      <c r="AD30" s="2142"/>
      <c r="AE30" s="2142"/>
      <c r="AF30" s="1599"/>
      <c r="AG30" s="1599"/>
      <c r="AH30" s="2181"/>
      <c r="AI30" s="2182"/>
      <c r="AJ30" s="1578"/>
      <c r="BM30" s="297">
        <v>14</v>
      </c>
    </row>
    <row customHeight="1" ht="14.699999999999998">
      <c r="D31" s="2187"/>
      <c r="E31" s="2183"/>
      <c r="F31" s="2183"/>
      <c r="G31" s="2190"/>
      <c r="H31" s="1604"/>
      <c r="I31" s="2186"/>
      <c r="J31" s="2157"/>
      <c r="K31" s="1587"/>
      <c r="L31" s="2142"/>
      <c r="M31" s="2142"/>
      <c r="N31" s="1594"/>
      <c r="O31" s="2142"/>
      <c r="P31" s="2157"/>
      <c r="Q31" s="1595"/>
      <c r="R31" s="2142"/>
      <c r="S31" s="2142"/>
      <c r="T31" s="1596"/>
      <c r="U31" s="2142"/>
      <c r="V31" s="2157"/>
      <c r="W31" s="1597"/>
      <c r="X31" s="2142"/>
      <c r="Y31" s="2142"/>
      <c r="Z31" s="1516"/>
      <c r="AA31" s="1599"/>
      <c r="AB31" s="2181"/>
      <c r="AC31" s="2181"/>
      <c r="AD31" s="2181"/>
      <c r="AE31" s="2181"/>
      <c r="AF31" s="2181"/>
      <c r="AG31" s="2181"/>
      <c r="AH31" s="2181"/>
      <c r="AI31" s="2182"/>
      <c r="AJ31" s="1578"/>
      <c r="BM31" s="297">
        <v>14</v>
      </c>
    </row>
    <row customHeight="1" ht="14.699999999999998">
      <c r="D32" s="2187"/>
      <c r="E32" s="2183"/>
      <c r="F32" s="2183"/>
      <c r="G32" s="2190"/>
      <c r="H32" s="1604"/>
      <c r="I32" s="2186"/>
      <c r="J32" s="2157"/>
      <c r="K32" s="1587"/>
      <c r="L32" s="2142"/>
      <c r="M32" s="2142"/>
      <c r="N32" s="1594"/>
      <c r="O32" s="2142"/>
      <c r="P32" s="2157"/>
      <c r="Q32" s="1595"/>
      <c r="R32" s="2142"/>
      <c r="S32" s="2142"/>
      <c r="T32" s="1600"/>
      <c r="U32" s="1601"/>
      <c r="V32" s="2181"/>
      <c r="W32" s="2181"/>
      <c r="X32" s="2181"/>
      <c r="Y32" s="2181"/>
      <c r="Z32" s="2181"/>
      <c r="AA32" s="2181"/>
      <c r="AB32" s="2181"/>
      <c r="AC32" s="2181"/>
      <c r="AD32" s="2181"/>
      <c r="AE32" s="2181"/>
      <c r="AF32" s="2181"/>
      <c r="AG32" s="2181"/>
      <c r="AH32" s="2181"/>
      <c r="AI32" s="2182"/>
      <c r="AJ32" s="1578"/>
      <c r="BM32" s="297">
        <v>14</v>
      </c>
    </row>
    <row customHeight="1" ht="11.549999999999999">
      <c r="D33" s="2187"/>
      <c r="E33" s="2183"/>
      <c r="F33" s="2183"/>
      <c r="G33" s="2190"/>
      <c r="H33" s="1605"/>
      <c r="I33" s="2186"/>
      <c r="J33" s="2157"/>
      <c r="K33" s="1587"/>
      <c r="L33" s="2142"/>
      <c r="M33" s="2142"/>
      <c r="N33" s="1599"/>
      <c r="O33" s="1599"/>
      <c r="P33" s="2181"/>
      <c r="Q33" s="2181"/>
      <c r="R33" s="2181"/>
      <c r="S33" s="2181"/>
      <c r="T33" s="2181"/>
      <c r="U33" s="2181"/>
      <c r="V33" s="2181"/>
      <c r="W33" s="2181"/>
      <c r="X33" s="2181"/>
      <c r="Y33" s="2181"/>
      <c r="Z33" s="2181"/>
      <c r="AA33" s="2181"/>
      <c r="AB33" s="2181"/>
      <c r="AC33" s="2181"/>
      <c r="AD33" s="2181"/>
      <c r="AE33" s="2181"/>
      <c r="AF33" s="2181"/>
      <c r="AG33" s="2181"/>
      <c r="AH33" s="2181"/>
      <c r="AI33" s="2182"/>
      <c r="AJ33" s="1578"/>
      <c r="BM33" s="297">
        <v>11</v>
      </c>
    </row>
    <row s="1558" customFormat="1" customHeight="1" ht="11.549999999999999">
      <c r="D34" s="2193"/>
      <c r="E34" s="2194"/>
      <c r="F34" s="2184"/>
      <c r="G34" s="2116"/>
      <c r="H34" s="1602"/>
      <c r="I34" s="1606"/>
      <c r="J34" s="2191"/>
      <c r="K34" s="2191"/>
      <c r="L34" s="2191"/>
      <c r="M34" s="2191"/>
      <c r="N34" s="2191"/>
      <c r="O34" s="2191"/>
      <c r="P34" s="2191"/>
      <c r="Q34" s="2191"/>
      <c r="R34" s="2191"/>
      <c r="S34" s="2191"/>
      <c r="T34" s="2191"/>
      <c r="U34" s="2191"/>
      <c r="V34" s="2191"/>
      <c r="W34" s="2191"/>
      <c r="X34" s="2191"/>
      <c r="Y34" s="2191"/>
      <c r="Z34" s="2191"/>
      <c r="AA34" s="2191"/>
      <c r="AB34" s="2191"/>
      <c r="AC34" s="2191"/>
      <c r="AD34" s="2191"/>
      <c r="AE34" s="2191"/>
      <c r="AF34" s="2191"/>
      <c r="AG34" s="2191"/>
      <c r="AH34" s="2191"/>
      <c r="AI34" s="2192"/>
      <c r="AJ34" s="1578"/>
      <c r="AK34" s="310"/>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58">
        <v>11</v>
      </c>
    </row>
    <row customHeight="1" ht="15">
      <c r="D35" s="2187" t="s">
        <v>120</v>
      </c>
      <c r="E35" s="2183" t="s">
        <v>311</v>
      </c>
      <c r="F35" s="2183" t="s">
        <v>316</v>
      </c>
      <c r="G35" s="2189" t="s">
        <v>19</v>
      </c>
      <c r="H35" s="1603"/>
      <c r="I35" s="2185"/>
      <c r="J35" s="2156"/>
      <c r="K35" s="1518"/>
      <c r="L35" s="2141"/>
      <c r="M35" s="2141"/>
      <c r="N35" s="1588"/>
      <c r="O35" s="2141"/>
      <c r="P35" s="2156"/>
      <c r="Q35" s="1589"/>
      <c r="R35" s="2141"/>
      <c r="S35" s="2141"/>
      <c r="T35" s="1590"/>
      <c r="U35" s="2141"/>
      <c r="V35" s="2156"/>
      <c r="W35" s="1591"/>
      <c r="X35" s="2141"/>
      <c r="Y35" s="2141"/>
      <c r="Z35" s="1588"/>
      <c r="AA35" s="2141"/>
      <c r="AB35" s="2156"/>
      <c r="AC35" s="1592"/>
      <c r="AD35" s="2141"/>
      <c r="AE35" s="2141"/>
      <c r="AF35" s="1517"/>
      <c r="AG35" s="1517"/>
      <c r="AH35" s="1593"/>
      <c r="AI35" s="1300"/>
      <c r="AJ35" s="1578"/>
      <c r="BM35" s="297">
        <v>14</v>
      </c>
    </row>
    <row customHeight="1" ht="14.699999999999998">
      <c r="D36" s="2187"/>
      <c r="E36" s="2183"/>
      <c r="F36" s="2183"/>
      <c r="G36" s="2190"/>
      <c r="H36" s="1604"/>
      <c r="I36" s="2186"/>
      <c r="J36" s="2157"/>
      <c r="K36" s="1587"/>
      <c r="L36" s="2142"/>
      <c r="M36" s="2142"/>
      <c r="N36" s="1594"/>
      <c r="O36" s="2142"/>
      <c r="P36" s="2157"/>
      <c r="Q36" s="1595"/>
      <c r="R36" s="2142"/>
      <c r="S36" s="2142"/>
      <c r="T36" s="1596"/>
      <c r="U36" s="2142"/>
      <c r="V36" s="2157"/>
      <c r="W36" s="1597"/>
      <c r="X36" s="2142"/>
      <c r="Y36" s="2142"/>
      <c r="Z36" s="1594"/>
      <c r="AA36" s="2142"/>
      <c r="AB36" s="2157"/>
      <c r="AC36" s="1598"/>
      <c r="AD36" s="2142"/>
      <c r="AE36" s="2142"/>
      <c r="AF36" s="1599"/>
      <c r="AG36" s="1599"/>
      <c r="AH36" s="2181"/>
      <c r="AI36" s="2182"/>
      <c r="AJ36" s="1578"/>
      <c r="BM36" s="297">
        <v>14</v>
      </c>
    </row>
    <row customHeight="1" ht="14.699999999999998">
      <c r="D37" s="2187"/>
      <c r="E37" s="2183"/>
      <c r="F37" s="2183"/>
      <c r="G37" s="2190"/>
      <c r="H37" s="1604"/>
      <c r="I37" s="2186"/>
      <c r="J37" s="2157"/>
      <c r="K37" s="1587"/>
      <c r="L37" s="2142"/>
      <c r="M37" s="2142"/>
      <c r="N37" s="1594"/>
      <c r="O37" s="2142"/>
      <c r="P37" s="2157"/>
      <c r="Q37" s="1595"/>
      <c r="R37" s="2142"/>
      <c r="S37" s="2142"/>
      <c r="T37" s="1596"/>
      <c r="U37" s="2142"/>
      <c r="V37" s="2157"/>
      <c r="W37" s="1597"/>
      <c r="X37" s="2142"/>
      <c r="Y37" s="2142"/>
      <c r="Z37" s="1516"/>
      <c r="AA37" s="1599"/>
      <c r="AB37" s="2181"/>
      <c r="AC37" s="2181"/>
      <c r="AD37" s="2181"/>
      <c r="AE37" s="2181"/>
      <c r="AF37" s="2181"/>
      <c r="AG37" s="2181"/>
      <c r="AH37" s="2181"/>
      <c r="AI37" s="2182"/>
      <c r="AJ37" s="1578"/>
      <c r="BM37" s="297">
        <v>14</v>
      </c>
    </row>
    <row customHeight="1" ht="14.699999999999998">
      <c r="D38" s="2187"/>
      <c r="E38" s="2183"/>
      <c r="F38" s="2183"/>
      <c r="G38" s="2190"/>
      <c r="H38" s="1604"/>
      <c r="I38" s="2186"/>
      <c r="J38" s="2157"/>
      <c r="K38" s="1587"/>
      <c r="L38" s="2142"/>
      <c r="M38" s="2142"/>
      <c r="N38" s="1594"/>
      <c r="O38" s="2142"/>
      <c r="P38" s="2157"/>
      <c r="Q38" s="1595"/>
      <c r="R38" s="2142"/>
      <c r="S38" s="2142"/>
      <c r="T38" s="1600"/>
      <c r="U38" s="1601"/>
      <c r="V38" s="2181"/>
      <c r="W38" s="2181"/>
      <c r="X38" s="2181"/>
      <c r="Y38" s="2181"/>
      <c r="Z38" s="2181"/>
      <c r="AA38" s="2181"/>
      <c r="AB38" s="2181"/>
      <c r="AC38" s="2181"/>
      <c r="AD38" s="2181"/>
      <c r="AE38" s="2181"/>
      <c r="AF38" s="2181"/>
      <c r="AG38" s="2181"/>
      <c r="AH38" s="2181"/>
      <c r="AI38" s="2182"/>
      <c r="AJ38" s="1578"/>
      <c r="BM38" s="297">
        <v>14</v>
      </c>
    </row>
    <row customHeight="1" ht="11.549999999999999">
      <c r="D39" s="2187"/>
      <c r="E39" s="2183"/>
      <c r="F39" s="2183"/>
      <c r="G39" s="2190"/>
      <c r="H39" s="1605"/>
      <c r="I39" s="2186"/>
      <c r="J39" s="2157"/>
      <c r="K39" s="1587"/>
      <c r="L39" s="2142"/>
      <c r="M39" s="2142"/>
      <c r="N39" s="1599"/>
      <c r="O39" s="1599"/>
      <c r="P39" s="2181"/>
      <c r="Q39" s="2181"/>
      <c r="R39" s="2181"/>
      <c r="S39" s="2181"/>
      <c r="T39" s="2181"/>
      <c r="U39" s="2181"/>
      <c r="V39" s="2181"/>
      <c r="W39" s="2181"/>
      <c r="X39" s="2181"/>
      <c r="Y39" s="2181"/>
      <c r="Z39" s="2181"/>
      <c r="AA39" s="2181"/>
      <c r="AB39" s="2181"/>
      <c r="AC39" s="2181"/>
      <c r="AD39" s="2181"/>
      <c r="AE39" s="2181"/>
      <c r="AF39" s="2181"/>
      <c r="AG39" s="2181"/>
      <c r="AH39" s="2181"/>
      <c r="AI39" s="2182"/>
      <c r="AJ39" s="1578"/>
      <c r="BM39" s="297">
        <v>11</v>
      </c>
    </row>
    <row s="1558" customFormat="1" customHeight="1" ht="11.549999999999999">
      <c r="D40" s="2187"/>
      <c r="E40" s="2183"/>
      <c r="F40" s="2188"/>
      <c r="G40" s="2116"/>
      <c r="H40" s="1602"/>
      <c r="I40" s="1606"/>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2"/>
      <c r="AJ40" s="1578"/>
      <c r="AK40" s="310"/>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8"/>
      <c r="BI40" s="1578"/>
      <c r="BJ40" s="1578"/>
      <c r="BK40" s="1578"/>
      <c r="BL40" s="1578"/>
      <c r="BM40" s="1558">
        <v>11</v>
      </c>
    </row>
    <row customHeight="1" ht="11.549999999999999">
      <c r="AK41" s="427"/>
      <c r="BM41" s="297">
        <v>11</v>
      </c>
    </row>
    <row customHeight="1" ht="11.549999999999999">
      <c r="AK42" s="427"/>
      <c r="BM42" s="297">
        <v>11</v>
      </c>
    </row>
    <row customHeight="1" ht="11.549999999999999">
      <c r="AK43" s="427"/>
      <c r="BM43" s="297">
        <v>11</v>
      </c>
    </row>
    <row customHeight="1" ht="11.549999999999999">
      <c r="AK44" s="427"/>
      <c r="BM44" s="297">
        <v>11</v>
      </c>
    </row>
    <row customHeight="1" ht="11.549999999999999">
      <c r="AK45" s="427"/>
      <c r="BM45" s="297">
        <v>11</v>
      </c>
    </row>
    <row customHeight="1" ht="11.549999999999999">
      <c r="AK46" s="427"/>
      <c r="BM46" s="297">
        <v>11</v>
      </c>
    </row>
    <row customHeight="1" ht="11.549999999999999">
      <c r="AK47" s="427"/>
      <c r="BM47" s="297">
        <v>11</v>
      </c>
    </row>
    <row customHeight="1" ht="11.549999999999999">
      <c r="AK48" s="427"/>
      <c r="BM48" s="297">
        <v>11</v>
      </c>
    </row>
    <row customHeight="1" ht="11.549999999999999">
      <c r="AK49" s="427"/>
      <c r="BM49" s="297">
        <v>11</v>
      </c>
    </row>
    <row customHeight="1" ht="11.25" hidden="1">
      <c r="A50" s="297" t="s">
        <v>82</v>
      </c>
      <c r="B50" s="297">
        <v>0</v>
      </c>
      <c r="C50" s="297">
        <v>3</v>
      </c>
      <c r="D50" s="297">
        <v>3</v>
      </c>
      <c r="E50" s="297">
        <v>15</v>
      </c>
      <c r="F50" s="297">
        <v>15</v>
      </c>
      <c r="G50" s="297">
        <v>11</v>
      </c>
      <c r="H50" s="297">
        <v>3</v>
      </c>
      <c r="I50" s="297">
        <v>3</v>
      </c>
      <c r="J50" s="297">
        <v>12</v>
      </c>
      <c r="K50" s="297">
        <v>0</v>
      </c>
      <c r="L50" s="297">
        <v>10</v>
      </c>
      <c r="M50" s="297">
        <v>10</v>
      </c>
      <c r="N50" s="297">
        <v>3</v>
      </c>
      <c r="O50" s="297">
        <v>3</v>
      </c>
      <c r="P50" s="297">
        <v>19</v>
      </c>
      <c r="Q50" s="297">
        <v>0</v>
      </c>
      <c r="R50" s="297">
        <v>10</v>
      </c>
      <c r="S50" s="297">
        <v>10</v>
      </c>
      <c r="T50" s="297">
        <v>3</v>
      </c>
      <c r="U50" s="297">
        <v>3</v>
      </c>
      <c r="V50" s="297">
        <v>25</v>
      </c>
      <c r="W50" s="297">
        <v>0</v>
      </c>
      <c r="X50" s="297">
        <v>10</v>
      </c>
      <c r="Y50" s="297">
        <v>10</v>
      </c>
      <c r="Z50" s="297">
        <v>3</v>
      </c>
      <c r="AA50" s="297">
        <v>3</v>
      </c>
      <c r="AB50" s="297">
        <v>16</v>
      </c>
      <c r="AC50" s="297">
        <v>0</v>
      </c>
      <c r="AD50" s="297">
        <v>10</v>
      </c>
      <c r="AE50" s="297">
        <v>10</v>
      </c>
      <c r="AF50" s="297">
        <v>3</v>
      </c>
      <c r="AG50" s="297">
        <v>3</v>
      </c>
      <c r="AH50" s="297">
        <v>8</v>
      </c>
      <c r="AI50" s="297">
        <v>21</v>
      </c>
      <c r="AJ50" s="427">
        <v>8</v>
      </c>
      <c r="AK50" s="310">
        <v>8</v>
      </c>
      <c r="AL50" s="427">
        <v>8</v>
      </c>
      <c r="AM50" s="427">
        <v>8</v>
      </c>
      <c r="AN50" s="427">
        <v>8</v>
      </c>
      <c r="AO50" s="427">
        <v>8</v>
      </c>
      <c r="AP50" s="427">
        <v>8</v>
      </c>
      <c r="AQ50" s="427">
        <v>8</v>
      </c>
      <c r="AR50" s="427">
        <v>8</v>
      </c>
      <c r="AS50" s="427">
        <v>8</v>
      </c>
      <c r="AT50" s="427">
        <v>8</v>
      </c>
      <c r="AU50" s="427">
        <v>8</v>
      </c>
      <c r="AV50" s="427">
        <v>8</v>
      </c>
      <c r="AW50" s="427">
        <v>8</v>
      </c>
      <c r="AX50" s="427">
        <v>8</v>
      </c>
      <c r="AY50" s="427">
        <v>8</v>
      </c>
      <c r="AZ50" s="427">
        <v>8</v>
      </c>
      <c r="BA50" s="427">
        <v>8</v>
      </c>
      <c r="BB50" s="427">
        <v>8</v>
      </c>
      <c r="BC50" s="427">
        <v>8</v>
      </c>
      <c r="BD50" s="427">
        <v>8</v>
      </c>
      <c r="BE50" s="427">
        <v>8</v>
      </c>
      <c r="BF50" s="427">
        <v>8</v>
      </c>
      <c r="BG50" s="427">
        <v>8</v>
      </c>
      <c r="BH50" s="427">
        <v>8</v>
      </c>
      <c r="BI50" s="427">
        <v>8</v>
      </c>
      <c r="BJ50" s="427">
        <v>8</v>
      </c>
      <c r="BK50" s="427">
        <v>8</v>
      </c>
      <c r="BL50" s="427">
        <v>8</v>
      </c>
      <c r="BM50" s="29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8ABAEC-E1B9-6644-A27D-.4988FB37F1C}"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3" t="s">
        <v>14</v>
      </c>
    </row>
    <row customHeight="1" ht="22.5">
      <c r="B2" s="2617" t="s">
        <v>2201</v>
      </c>
      <c r="C2" s="2504"/>
      <c r="D2" s="2504"/>
      <c r="E2" s="272"/>
      <c r="F2" s="93">
        <v>22</v>
      </c>
    </row>
    <row customHeight="1" ht="3">
      <c r="F3" s="93">
        <v>3</v>
      </c>
    </row>
    <row customHeight="1" ht="23.25">
      <c r="B4" s="2618" t="s">
        <v>2202</v>
      </c>
      <c r="C4" s="387" t="s">
        <v>2203</v>
      </c>
      <c r="D4" s="387" t="s">
        <v>2204</v>
      </c>
      <c r="F4" s="93">
        <v>22</v>
      </c>
    </row>
    <row customHeight="1" ht="11.25" hidden="1">
      <c r="A5" s="93" t="s">
        <v>82</v>
      </c>
      <c r="B5" s="93">
        <v>34</v>
      </c>
      <c r="C5" s="93">
        <v>85</v>
      </c>
      <c r="D5" s="93">
        <v>17</v>
      </c>
      <c r="E5" s="93">
        <v>8</v>
      </c>
      <c r="F5" s="93">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2F8206-268A-0BE2-75B6-9F7049BBEB9F}"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19" customFormat="1" customHeight="1" ht="17.25">
      <c r="A2" s="1819" t="s">
        <v>2205</v>
      </c>
    </row>
    <row r="4" s="268" customFormat="1" customHeight="1" ht="15">
      <c r="C4" s="1820"/>
      <c r="D4" s="117"/>
      <c r="E4" s="381"/>
    </row>
    <row r="6" s="1819" customFormat="1" customHeight="1" ht="17.25">
      <c r="A6" s="1819" t="s">
        <v>2206</v>
      </c>
    </row>
    <row r="8" s="268" customFormat="1" customHeight="1" ht="17.25">
      <c r="C8" s="1821"/>
      <c r="D8" s="117"/>
      <c r="E8" s="118"/>
    </row>
    <row r="11" s="1819" customFormat="1" customHeight="1" ht="17.25">
      <c r="A11" s="1819" t="s">
        <v>2207</v>
      </c>
    </row>
    <row r="13" s="1823" customFormat="1" customHeight="1" ht="15">
      <c r="A13" s="2221">
        <v>1</v>
      </c>
      <c r="B13" s="1164"/>
      <c r="C13" s="805" t="s">
        <v>104</v>
      </c>
      <c r="D13" s="1822"/>
      <c r="E13" s="1809">
        <f>A13</f>
        <v>1</v>
      </c>
      <c r="F13" s="808"/>
      <c r="G13" s="544" t="str">
        <f>"Территория "&amp;E13</f>
        <v>Территория 1</v>
      </c>
      <c r="H13" s="796"/>
      <c r="I13" s="796"/>
      <c r="J13" s="793"/>
      <c r="K13" s="1628"/>
      <c r="L13" s="1628"/>
      <c r="M13" s="1628"/>
      <c r="N13" s="230"/>
      <c r="O13" s="1628"/>
      <c r="P13" s="229"/>
      <c r="Q13" s="229"/>
      <c r="R13" s="229"/>
      <c r="S13" s="229"/>
    </row>
    <row s="1854" customFormat="1" customHeight="1" ht="15">
      <c r="A14" s="2221"/>
      <c r="B14" s="1164">
        <v>1</v>
      </c>
      <c r="C14" s="1164"/>
      <c r="D14" s="804"/>
      <c r="E14" s="1817" t="str">
        <f>A13&amp;"."&amp;B14</f>
        <v>1.1</v>
      </c>
      <c r="F14" s="807">
        <f>$F$20</f>
        <v>0</v>
      </c>
      <c r="G14" s="797"/>
      <c r="H14" s="797"/>
      <c r="I14" s="795"/>
      <c r="J14" s="1628"/>
      <c r="K14" s="1640"/>
      <c r="L14" s="1640"/>
      <c r="M14" s="1628" t="str">
        <f t="array" ref="M14:M14">IF(ISERROR(MATCH(MID(N14,1,250),MID(note_ter,1,250),0)),"n","y")</f>
        <v>n</v>
      </c>
      <c r="N14" s="1640"/>
      <c r="O14" s="1628" t="str">
        <f>H14&amp;"("&amp;I14&amp;")"</f>
        <v>()</v>
      </c>
      <c r="P14" s="1164"/>
      <c r="Q14" s="1164"/>
      <c r="R14" s="424"/>
      <c r="S14" s="1164"/>
      <c r="T14" s="1164"/>
      <c r="U14" s="1164"/>
      <c r="V14" s="426"/>
      <c r="W14" s="426"/>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6"/>
      <c r="BT14" s="426"/>
      <c r="BU14" s="426"/>
      <c r="BV14" s="426"/>
      <c r="BW14" s="426"/>
      <c r="BX14" s="426"/>
      <c r="BY14" s="426"/>
      <c r="BZ14" s="426"/>
      <c r="CA14" s="426"/>
      <c r="CB14" s="426"/>
    </row>
    <row s="1854" customFormat="1" customHeight="1" ht="15">
      <c r="A15" s="2221"/>
      <c r="B15" s="1164"/>
      <c r="C15" s="416"/>
      <c r="D15" s="805"/>
      <c r="E15" s="425"/>
      <c r="F15" s="181"/>
      <c r="G15" s="419" t="s">
        <v>102</v>
      </c>
      <c r="H15" s="191"/>
      <c r="I15" s="428"/>
      <c r="J15" s="1640"/>
      <c r="K15" s="1640"/>
      <c r="L15" s="1640"/>
      <c r="M15" s="1640"/>
      <c r="N15" s="1628"/>
      <c r="O15" s="1640"/>
      <c r="P15" s="1164"/>
      <c r="Q15" s="1164"/>
      <c r="R15" s="424"/>
      <c r="S15" s="1164"/>
      <c r="T15" s="1164"/>
      <c r="U15" s="1164"/>
      <c r="V15" s="426"/>
      <c r="W15" s="426"/>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6"/>
      <c r="BT15" s="426"/>
      <c r="BU15" s="426"/>
      <c r="BV15" s="426"/>
      <c r="BW15" s="426"/>
      <c r="BX15" s="426"/>
      <c r="BY15" s="426"/>
      <c r="BZ15" s="426"/>
      <c r="CA15" s="426"/>
      <c r="CB15" s="426"/>
    </row>
    <row r="17" s="1819" customFormat="1" customHeight="1" ht="17.25">
      <c r="A17" s="1819" t="s">
        <v>2208</v>
      </c>
    </row>
    <row r="19" s="1854" customFormat="1" customHeight="1" ht="15">
      <c r="A19" s="1886"/>
      <c r="B19" s="1370">
        <v>1</v>
      </c>
      <c r="C19" s="1370"/>
      <c r="D19" s="804" t="s">
        <v>104</v>
      </c>
      <c r="E19" s="1882"/>
      <c r="F19" s="1887">
        <f>$F$20</f>
        <v>0</v>
      </c>
      <c r="G19" s="1891"/>
      <c r="H19" s="1891"/>
      <c r="I19" s="1889"/>
      <c r="J19" s="1628"/>
      <c r="K19" s="1640"/>
      <c r="L19" s="1640"/>
      <c r="M19" s="1628" t="str">
        <f t="array" ref="M19:M19">IF(ISERROR(MATCH(MID(N19,1,250),MID(note_ter,1,250),0)),"n","y")</f>
        <v>n</v>
      </c>
      <c r="N19" s="1640"/>
      <c r="O19" s="1628" t="str">
        <f>H19&amp;"("&amp;I19&amp;")"</f>
        <v>()</v>
      </c>
      <c r="P19" s="1370"/>
      <c r="Q19" s="1370"/>
      <c r="R19" s="424"/>
      <c r="S19" s="1370"/>
      <c r="T19" s="1370"/>
      <c r="U19" s="1370"/>
      <c r="V19" s="837"/>
      <c r="W19" s="837"/>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837"/>
      <c r="BT19" s="837"/>
      <c r="BU19" s="837"/>
      <c r="BV19" s="837"/>
      <c r="BW19" s="837"/>
      <c r="BX19" s="837"/>
      <c r="BY19" s="837"/>
      <c r="BZ19" s="837"/>
      <c r="CA19" s="837"/>
      <c r="CB19" s="837"/>
    </row>
    <row r="21" s="1854" customFormat="1" customHeight="1" ht="15">
      <c r="A21" s="1819" t="s">
        <v>2209</v>
      </c>
      <c r="B21" s="1819"/>
      <c r="C21" s="1819"/>
      <c r="D21" s="1819"/>
      <c r="E21" s="1819"/>
      <c r="F21" s="1819"/>
      <c r="G21" s="1819"/>
      <c r="H21" s="1819"/>
      <c r="I21" s="1819"/>
      <c r="J21" s="1819"/>
      <c r="K21" s="1819"/>
      <c r="L21" s="1819"/>
      <c r="M21" s="1819"/>
      <c r="N21" s="1819"/>
      <c r="O21" s="1819"/>
      <c r="P21" s="1819"/>
      <c r="Q21" s="1819"/>
      <c r="R21" s="1819"/>
      <c r="S21" s="1819"/>
      <c r="T21" s="1819"/>
      <c r="U21" s="188"/>
      <c r="V21" s="1819"/>
      <c r="W21" s="1819"/>
    </row>
    <row s="1854" customFormat="1" customHeight="1" ht="15">
      <c r="U22" s="189"/>
    </row>
    <row s="1857" customFormat="1" customHeight="1" ht="15">
      <c r="A23" s="427"/>
      <c r="B23" s="427"/>
      <c r="C23" s="1732" t="s">
        <v>104</v>
      </c>
      <c r="D23" s="2112" t="s">
        <v>119</v>
      </c>
      <c r="E23" s="2113"/>
      <c r="F23" s="2111" t="s">
        <v>19</v>
      </c>
      <c r="G23" s="2561"/>
      <c r="H23" s="2131">
        <v>1</v>
      </c>
      <c r="I23" s="2563" t="str">
        <f>IF(U23="","",INDEX(TERRITORY_MR_LIST,MATCH(U23,TERRITORY_LIST_ID,0)))</f>
        <v/>
      </c>
      <c r="J23" s="2111" t="s">
        <v>19</v>
      </c>
      <c r="K23" s="836"/>
      <c r="L23" s="1786" t="s">
        <v>119</v>
      </c>
      <c r="M23" s="607"/>
      <c r="N23" s="608"/>
      <c r="O23" s="608"/>
      <c r="P23" s="608"/>
      <c r="Q23" s="608"/>
      <c r="R23" s="608"/>
      <c r="S23" s="608"/>
      <c r="T23" s="608"/>
      <c r="U23" s="609"/>
      <c r="V23" s="608"/>
      <c r="W23" s="608"/>
      <c r="X23" s="599"/>
      <c r="Y23" s="599" t="s">
        <v>128</v>
      </c>
      <c r="Z23" s="599">
        <v>1705000</v>
      </c>
      <c r="AA23" s="599"/>
      <c r="AB23" s="599"/>
      <c r="AC23" s="599"/>
      <c r="AD23" s="599"/>
      <c r="AE23" s="599"/>
      <c r="AF23" s="599"/>
      <c r="AG23" s="599"/>
      <c r="AH23" s="599"/>
      <c r="AI23" s="599"/>
      <c r="AJ23" s="599"/>
      <c r="AK23" s="599"/>
      <c r="AL23" s="599"/>
    </row>
    <row s="1857" customFormat="1" customHeight="1" ht="15">
      <c r="A24" s="427"/>
      <c r="B24" s="427"/>
      <c r="C24" s="180"/>
      <c r="D24" s="2112"/>
      <c r="E24" s="2114"/>
      <c r="F24" s="2111"/>
      <c r="G24" s="2562"/>
      <c r="H24" s="2131"/>
      <c r="I24" s="2564"/>
      <c r="J24" s="2111"/>
      <c r="K24" s="425"/>
      <c r="L24" s="181"/>
      <c r="M24" s="611" t="s">
        <v>129</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row>
    <row s="1857" customFormat="1" customHeight="1" ht="15">
      <c r="A25" s="427"/>
      <c r="B25" s="427"/>
      <c r="C25" s="180"/>
      <c r="D25" s="2112"/>
      <c r="E25" s="2115"/>
      <c r="F25" s="2111"/>
      <c r="G25" s="425"/>
      <c r="H25" s="181"/>
      <c r="I25" s="584" t="s">
        <v>131</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row>
    <row s="1854" customFormat="1" customHeight="1" ht="15">
      <c r="U26" s="189"/>
    </row>
    <row s="1854" customFormat="1" customHeight="1" ht="15">
      <c r="A27" s="1819" t="s">
        <v>2210</v>
      </c>
      <c r="B27" s="1819"/>
      <c r="C27" s="1819"/>
      <c r="D27" s="1819"/>
      <c r="E27" s="1819"/>
      <c r="F27" s="1819"/>
      <c r="G27" s="1819"/>
      <c r="H27" s="1819"/>
      <c r="I27" s="1819"/>
      <c r="J27" s="1819"/>
      <c r="K27" s="1819"/>
      <c r="L27" s="1819"/>
      <c r="M27" s="1819"/>
      <c r="N27" s="1819"/>
      <c r="O27" s="1819"/>
      <c r="P27" s="1819"/>
      <c r="Q27" s="1819"/>
      <c r="R27" s="1819"/>
      <c r="S27" s="1819"/>
      <c r="T27" s="1819"/>
      <c r="U27" s="188"/>
      <c r="V27" s="1819"/>
      <c r="W27" s="1819"/>
    </row>
    <row s="1854" customFormat="1" customHeight="1" ht="15">
      <c r="U28" s="189"/>
    </row>
    <row s="1857" customFormat="1" customHeight="1" ht="15">
      <c r="A29" s="427"/>
      <c r="B29" s="427"/>
      <c r="C29" s="180"/>
      <c r="D29" s="1825"/>
      <c r="E29" s="1825"/>
      <c r="F29" s="1825"/>
      <c r="G29" s="2565" t="s">
        <v>104</v>
      </c>
      <c r="H29" s="2107">
        <v>1</v>
      </c>
      <c r="I29" s="2566" t="str">
        <f>IF(U29="","",INDEX(TERRITORY_MR_LIST,MATCH(U29,TERRITORY_LIST_ID,0)))</f>
        <v/>
      </c>
      <c r="J29" s="2111" t="s">
        <v>19</v>
      </c>
      <c r="K29" s="836"/>
      <c r="L29" s="1786" t="s">
        <v>119</v>
      </c>
      <c r="M29" s="607"/>
      <c r="N29" s="608"/>
      <c r="O29" s="608"/>
      <c r="P29" s="608"/>
      <c r="Q29" s="608"/>
      <c r="R29" s="608"/>
      <c r="S29" s="608"/>
      <c r="T29" s="608"/>
      <c r="U29" s="609"/>
      <c r="V29" s="608"/>
      <c r="W29" s="608"/>
      <c r="X29" s="599"/>
      <c r="Y29" s="599" t="s">
        <v>128</v>
      </c>
      <c r="Z29" s="599">
        <v>1705000</v>
      </c>
      <c r="AA29" s="599"/>
      <c r="AB29" s="599"/>
      <c r="AC29" s="599"/>
      <c r="AD29" s="599"/>
      <c r="AE29" s="599"/>
      <c r="AF29" s="599"/>
      <c r="AG29" s="599"/>
      <c r="AH29" s="599"/>
      <c r="AI29" s="599"/>
      <c r="AJ29" s="599"/>
      <c r="AK29" s="599"/>
      <c r="AL29" s="599"/>
    </row>
    <row s="1857" customFormat="1" customHeight="1" ht="15">
      <c r="A30" s="427"/>
      <c r="B30" s="427"/>
      <c r="C30" s="180"/>
      <c r="D30" s="1825"/>
      <c r="E30" s="1825"/>
      <c r="F30" s="1825"/>
      <c r="G30" s="2565"/>
      <c r="H30" s="2107"/>
      <c r="I30" s="2566"/>
      <c r="J30" s="2111"/>
      <c r="K30" s="425"/>
      <c r="L30" s="181"/>
      <c r="M30" s="611" t="s">
        <v>129</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row>
    <row s="1854" customFormat="1" customHeight="1" ht="15">
      <c r="U31" s="189"/>
    </row>
    <row s="1854" customFormat="1" customHeight="1" ht="15">
      <c r="A32" s="1819" t="s">
        <v>2211</v>
      </c>
      <c r="B32" s="1819"/>
      <c r="C32" s="1819"/>
      <c r="D32" s="1819"/>
      <c r="E32" s="1819"/>
      <c r="F32" s="1819"/>
      <c r="G32" s="1819"/>
      <c r="H32" s="1819"/>
      <c r="I32" s="1819"/>
      <c r="J32" s="1819"/>
      <c r="K32" s="1819"/>
      <c r="L32" s="1819"/>
      <c r="M32" s="1819"/>
      <c r="N32" s="1819"/>
      <c r="O32" s="1819"/>
      <c r="P32" s="1819"/>
      <c r="Q32" s="1819"/>
      <c r="R32" s="1819"/>
      <c r="S32" s="1819"/>
      <c r="T32" s="1819"/>
      <c r="U32" s="188"/>
      <c r="V32" s="1819"/>
      <c r="W32" s="1819"/>
    </row>
    <row s="1854" customFormat="1" customHeight="1" ht="15">
      <c r="U33" s="189"/>
    </row>
    <row s="1857" customFormat="1" customHeight="1" ht="15">
      <c r="A34" s="427"/>
      <c r="B34" s="427"/>
      <c r="C34" s="180"/>
      <c r="D34" s="1825"/>
      <c r="E34" s="1825"/>
      <c r="F34" s="1825"/>
      <c r="G34" s="1825"/>
      <c r="H34" s="1825"/>
      <c r="I34" s="1825"/>
      <c r="J34" s="1825"/>
      <c r="K34" s="1803" t="s">
        <v>104</v>
      </c>
      <c r="L34" s="1733" t="s">
        <v>119</v>
      </c>
      <c r="M34" s="815"/>
      <c r="N34" s="816"/>
      <c r="O34" s="608"/>
      <c r="P34" s="608"/>
      <c r="Q34" s="608"/>
      <c r="R34" s="608"/>
      <c r="S34" s="608"/>
      <c r="T34" s="608"/>
      <c r="U34" s="609"/>
      <c r="V34" s="608"/>
      <c r="W34" s="608"/>
      <c r="X34" s="599"/>
      <c r="Y34" s="599" t="s">
        <v>128</v>
      </c>
      <c r="Z34" s="599">
        <v>1705000</v>
      </c>
      <c r="AA34" s="599"/>
      <c r="AB34" s="599"/>
      <c r="AC34" s="599"/>
      <c r="AD34" s="599"/>
      <c r="AE34" s="599"/>
      <c r="AF34" s="599"/>
      <c r="AG34" s="599"/>
      <c r="AH34" s="599"/>
      <c r="AI34" s="599"/>
      <c r="AJ34" s="599"/>
      <c r="AK34" s="599"/>
      <c r="AL34" s="599"/>
    </row>
    <row s="1854" customFormat="1" customHeight="1" ht="15">
      <c r="U35" s="189"/>
    </row>
    <row s="1854" customFormat="1" customHeight="1" ht="15">
      <c r="U36" s="189"/>
    </row>
    <row s="1819" customFormat="1" customHeight="1" ht="11.25">
      <c r="A37" s="1819" t="s">
        <v>2212</v>
      </c>
    </row>
    <row customHeight="1" ht="11.25"/>
    <row s="459" customFormat="1" customHeight="1" ht="22.5">
      <c r="A39" s="1795"/>
      <c r="B39" s="461"/>
      <c r="C39" s="863"/>
      <c r="D39" s="444"/>
      <c r="E39" s="864"/>
      <c r="F39" s="1816"/>
      <c r="G39" s="1826"/>
      <c r="H39" s="479"/>
    </row>
    <row customHeight="1" ht="11.25"/>
    <row s="1819" customFormat="1" customHeight="1" ht="11.25">
      <c r="A41" s="1819" t="s">
        <v>2213</v>
      </c>
    </row>
    <row customHeight="1" ht="11.25"/>
    <row s="459" customFormat="1" customHeight="1" ht="22.5">
      <c r="A43" s="461"/>
      <c r="B43" s="461"/>
      <c r="C43" s="461"/>
      <c r="D43" s="444"/>
      <c r="E43" s="864"/>
      <c r="F43" s="865"/>
      <c r="G43" s="1826"/>
      <c r="H43" s="479"/>
    </row>
    <row customHeight="1" ht="11.25"/>
    <row s="1819" customFormat="1" customHeight="1" ht="11.25">
      <c r="A45" s="1819" t="s">
        <v>2214</v>
      </c>
    </row>
    <row customHeight="1" ht="11.25"/>
    <row s="459" customFormat="1" customHeight="1" ht="24">
      <c r="A47" s="2206" t="s">
        <v>331</v>
      </c>
      <c r="B47" s="506"/>
      <c r="C47" s="2217"/>
      <c r="D47" s="449" t="str">
        <f>A47</f>
        <v>5.1</v>
      </c>
      <c r="E47" s="446" t="s">
        <v>332</v>
      </c>
      <c r="F47" s="1980" t="s">
        <v>324</v>
      </c>
      <c r="G47" s="448" t="s">
        <v>333</v>
      </c>
      <c r="H47" s="479"/>
      <c r="I47" s="856"/>
    </row>
    <row s="459" customFormat="1" customHeight="1" ht="22.5">
      <c r="A48" s="2206"/>
      <c r="B48" s="506"/>
      <c r="C48" s="2217"/>
      <c r="D48" s="444" t="str">
        <f>D47&amp;".1"</f>
        <v>5.1.1</v>
      </c>
      <c r="E48" s="443" t="s">
        <v>334</v>
      </c>
      <c r="F48" s="1981" t="s">
        <v>22</v>
      </c>
      <c r="G48" s="478"/>
      <c r="H48" s="479"/>
      <c r="I48" s="856"/>
    </row>
    <row s="459" customFormat="1" customHeight="1" ht="22.5">
      <c r="A49" s="2206"/>
      <c r="B49" s="506"/>
      <c r="C49" s="2217"/>
      <c r="D49" s="444" t="str">
        <f>D47&amp;".2"</f>
        <v>5.1.2</v>
      </c>
      <c r="E49" s="443" t="s">
        <v>335</v>
      </c>
      <c r="F49" s="1736" t="s">
        <v>22</v>
      </c>
      <c r="G49" s="448" t="s">
        <v>336</v>
      </c>
      <c r="H49" s="479"/>
      <c r="I49" s="856"/>
    </row>
    <row s="459" customFormat="1" customHeight="1" ht="22.5">
      <c r="A50" s="2206"/>
      <c r="B50" s="506"/>
      <c r="C50" s="2217"/>
      <c r="D50" s="444" t="str">
        <f>D47&amp;".3"</f>
        <v>5.1.3</v>
      </c>
      <c r="E50" s="443" t="s">
        <v>337</v>
      </c>
      <c r="F50" s="1981" t="s">
        <v>22</v>
      </c>
      <c r="G50" s="478"/>
      <c r="H50" s="479"/>
      <c r="I50" s="856"/>
    </row>
    <row s="459" customFormat="1" customHeight="1" ht="22.5">
      <c r="A51" s="2206"/>
      <c r="B51" s="506"/>
      <c r="C51" s="2217"/>
      <c r="D51" s="444" t="str">
        <f>D47&amp;".4"</f>
        <v>5.1.4</v>
      </c>
      <c r="E51" s="443" t="s">
        <v>338</v>
      </c>
      <c r="F51" s="1981" t="s">
        <v>22</v>
      </c>
      <c r="G51" s="448" t="s">
        <v>339</v>
      </c>
      <c r="H51" s="479"/>
      <c r="I51" s="856"/>
    </row>
    <row r="54" s="1819" customFormat="1" customHeight="1" ht="17.25">
      <c r="A54" s="1819" t="s">
        <v>2215</v>
      </c>
    </row>
    <row r="56" s="1616" customFormat="1" customHeight="1" ht="18.75">
      <c r="A56" s="93"/>
      <c r="B56" s="1827"/>
      <c r="C56" s="1827"/>
      <c r="D56" s="1828"/>
      <c r="E56" s="1813"/>
      <c r="F56" s="872">
        <v>13</v>
      </c>
      <c r="G56" s="871"/>
      <c r="H56" s="797"/>
      <c r="I56" s="795"/>
      <c r="J56" s="524" t="s">
        <v>62</v>
      </c>
      <c r="K56" s="1829" t="s">
        <v>22</v>
      </c>
      <c r="L56" s="93"/>
      <c r="M56" s="1640"/>
      <c r="N56" s="1640"/>
      <c r="O56" s="1640"/>
      <c r="P56" s="520" t="s">
        <v>410</v>
      </c>
      <c r="Q56" s="520" t="s">
        <v>411</v>
      </c>
      <c r="R56" s="521" t="s">
        <v>412</v>
      </c>
      <c r="S56" s="1640" t="s">
        <v>413</v>
      </c>
      <c r="T56" s="1640"/>
      <c r="U56" s="1640"/>
      <c r="V56" s="1640"/>
    </row>
    <row r="58" s="1819" customFormat="1" customHeight="1" ht="11.25">
      <c r="A58" s="1819" t="s">
        <v>2216</v>
      </c>
    </row>
    <row r="60" s="1639" customFormat="1" customHeight="1" ht="14.25">
      <c r="C60" s="1692"/>
      <c r="D60" s="1873"/>
      <c r="E60" s="1781" t="s">
        <v>22</v>
      </c>
      <c r="F60" s="1872"/>
      <c r="G60" s="860"/>
      <c r="H60" s="1782"/>
      <c r="I60" s="1782"/>
      <c r="J60" s="437"/>
      <c r="K60" s="1867"/>
      <c r="L60" s="436"/>
      <c r="M60" s="1867"/>
      <c r="N60" s="437"/>
      <c r="O60" s="1867"/>
      <c r="P60" s="437"/>
      <c r="Q60" s="1867"/>
      <c r="R60" s="437"/>
      <c r="S60" s="858"/>
      <c r="T60" s="1782"/>
      <c r="U60" s="437"/>
      <c r="V60" s="437"/>
      <c r="W60" s="1871"/>
      <c r="X60" s="1782"/>
      <c r="Y60" s="437"/>
      <c r="Z60" s="437"/>
      <c r="AA60" s="1871"/>
      <c r="AB60" s="1782"/>
      <c r="AC60" s="437"/>
      <c r="AD60" s="1871"/>
      <c r="AE60" s="93"/>
      <c r="AF60" s="93"/>
      <c r="AG60" s="93"/>
      <c r="AH60" s="93"/>
      <c r="AJ60" s="1640"/>
      <c r="AK60" s="1640"/>
      <c r="AL60" s="1640"/>
      <c r="AM60" s="1640"/>
      <c r="AN60" s="1640"/>
      <c r="AO60" s="1640"/>
      <c r="AP60" s="1628" t="s">
        <v>399</v>
      </c>
      <c r="AQ60" s="1628" t="s">
        <v>399</v>
      </c>
      <c r="AR60" s="1640"/>
      <c r="AS60" s="1640"/>
    </row>
    <row r="62" s="1819" customFormat="1" customHeight="1" ht="11.25">
      <c r="A62" s="1819" t="s">
        <v>2217</v>
      </c>
    </row>
    <row r="64" s="1827" customFormat="1" customHeight="1" ht="15">
      <c r="A64" s="149" t="s">
        <v>90</v>
      </c>
      <c r="B64" s="129" t="s">
        <v>22</v>
      </c>
      <c r="C64" s="1830"/>
      <c r="D64" s="132"/>
      <c r="E64" s="385"/>
      <c r="F64" s="385"/>
      <c r="G64" s="1807"/>
      <c r="H64" s="1829"/>
      <c r="I64" s="1808"/>
      <c r="K64" s="276"/>
      <c r="L64" s="277"/>
    </row>
    <row r="66" s="1819" customFormat="1" customHeight="1" ht="11.25">
      <c r="A66" s="1819" t="s">
        <v>2218</v>
      </c>
    </row>
    <row r="68" s="1639" customFormat="1" customHeight="1" ht="14.25">
      <c r="A68" s="347"/>
      <c r="B68" s="1164"/>
      <c r="C68" s="380"/>
      <c r="D68" s="1814"/>
      <c r="E68" s="890"/>
      <c r="F68" s="1829"/>
      <c r="G68" s="93"/>
      <c r="I68" s="1628"/>
      <c r="J68" s="1628"/>
    </row>
    <row r="70" s="1819" customFormat="1" customHeight="1" ht="11.25">
      <c r="A70" s="1819" t="s">
        <v>2219</v>
      </c>
    </row>
    <row r="72" s="1639" customFormat="1" customHeight="1" ht="27">
      <c r="A72" s="1170"/>
      <c r="B72" s="1170"/>
      <c r="C72" s="1170"/>
      <c r="D72" s="1164"/>
      <c r="E72" s="1831"/>
      <c r="F72" s="2585"/>
      <c r="G72" s="2586"/>
      <c r="H72" s="2587" t="s">
        <v>62</v>
      </c>
      <c r="I72" s="2589"/>
      <c r="J72" s="2552"/>
      <c r="K72" s="2591"/>
      <c r="L72" s="2554"/>
      <c r="M72" s="2554"/>
      <c r="N72" s="2555"/>
      <c r="O72" s="2555"/>
      <c r="P72" s="2556">
        <f>DATEDIF(DATEVALUE(N72),DATEVALUE(O72),"y")&amp;"г. "&amp;DATEDIF(DATEVALUE(N72),DATEVALUE(O72),"ym")&amp;"мес. "&amp;DATEVALUE(O72)-DATE(YEAR(DATEVALUE(O72)),MONTH(DATEVALUE(O72)),1)&amp;"дн. "</f>
      </c>
      <c r="Q72" s="2551"/>
      <c r="R72" s="2551"/>
      <c r="S72" s="2551"/>
      <c r="T72" s="2552"/>
      <c r="U72" s="2551"/>
      <c r="V72" s="2551"/>
      <c r="W72" s="2551"/>
      <c r="X72" s="2552"/>
      <c r="Y72" s="2549" t="s">
        <v>62</v>
      </c>
      <c r="Z72" s="1812"/>
      <c r="AA72" s="1796">
        <v>1</v>
      </c>
      <c r="AB72" s="1246"/>
      <c r="AD72" s="1640" t="s">
        <v>2220</v>
      </c>
    </row>
    <row s="1639" customFormat="1" customHeight="1" ht="10.5">
      <c r="A73" s="1170"/>
      <c r="B73" s="1170"/>
      <c r="C73" s="1170"/>
      <c r="D73" s="1164"/>
      <c r="E73" s="951"/>
      <c r="F73" s="2585"/>
      <c r="G73" s="2586"/>
      <c r="H73" s="2588"/>
      <c r="I73" s="2590"/>
      <c r="J73" s="2553"/>
      <c r="K73" s="2591"/>
      <c r="L73" s="2554"/>
      <c r="M73" s="2554"/>
      <c r="N73" s="2555"/>
      <c r="O73" s="2555"/>
      <c r="P73" s="2556"/>
      <c r="Q73" s="2551"/>
      <c r="R73" s="2551"/>
      <c r="S73" s="2551"/>
      <c r="T73" s="2553"/>
      <c r="U73" s="2551"/>
      <c r="V73" s="2551"/>
      <c r="W73" s="2551"/>
      <c r="X73" s="2553"/>
      <c r="Y73" s="2550"/>
      <c r="Z73" s="351"/>
      <c r="AA73" s="576"/>
      <c r="AB73" s="656" t="s">
        <v>1262</v>
      </c>
    </row>
    <row r="75" s="1819" customFormat="1" customHeight="1" ht="11.25">
      <c r="A75" s="1819" t="s">
        <v>2221</v>
      </c>
    </row>
    <row r="77" s="1639" customFormat="1" customHeight="1" ht="27">
      <c r="A77" s="1170"/>
      <c r="B77" s="1170"/>
      <c r="C77" s="1170"/>
      <c r="D77" s="1164"/>
      <c r="E77" s="1831"/>
      <c r="F77" s="1801"/>
      <c r="G77" s="1751"/>
      <c r="H77" s="1752"/>
      <c r="I77" s="1753"/>
      <c r="J77" s="1754"/>
      <c r="K77" s="1755"/>
      <c r="L77" s="1756"/>
      <c r="M77" s="1756"/>
      <c r="N77" s="1757"/>
      <c r="O77" s="1757"/>
      <c r="P77" s="1758"/>
      <c r="Q77" s="1759"/>
      <c r="R77" s="1759"/>
      <c r="S77" s="1759"/>
      <c r="T77" s="1754"/>
      <c r="U77" s="1759"/>
      <c r="V77" s="1759"/>
      <c r="W77" s="1759"/>
      <c r="X77" s="1754"/>
      <c r="Y77" s="1752"/>
      <c r="Z77" s="1812"/>
      <c r="AA77" s="1796">
        <v>1</v>
      </c>
      <c r="AB77" s="1246"/>
      <c r="AD77" s="1640" t="s">
        <v>2220</v>
      </c>
    </row>
    <row r="79" s="1819" customFormat="1" customHeight="1" ht="11.25">
      <c r="A79" s="1819" t="s">
        <v>2222</v>
      </c>
    </row>
    <row customHeight="1" ht="17.25"/>
    <row s="1639" customFormat="1" customHeight="1" ht="21">
      <c r="A81" s="1171"/>
      <c r="B81" s="1170"/>
      <c r="C81" s="1170"/>
      <c r="D81" s="1164"/>
      <c r="E81" s="1174"/>
      <c r="F81" s="1126">
        <f>INDEX(IP_MAIN_LIST_NAME_IP,MATCH(A81,IP_MAIN_LIST_IP_ID,0))&amp;" ("&amp;INDEX(IP_MAIN_START_DATE,MATCH(A81,IP_MAIN_LIST_IP_ID,0))&amp;"-"&amp;INDEX(IP_MAIN_END_DATE,MATCH(A81,IP_MAIN_LIST_IP_ID,0))&amp;")"</f>
      </c>
      <c r="G81" s="1127"/>
      <c r="H81" s="1127"/>
      <c r="I81" s="1189"/>
      <c r="J81" s="1189"/>
      <c r="K81" s="1190"/>
      <c r="L81" s="1190"/>
      <c r="M81" s="1190"/>
      <c r="N81" s="1191"/>
      <c r="O81" s="1191"/>
      <c r="P81" s="1191"/>
      <c r="Q81" s="1191"/>
      <c r="R81" s="1191"/>
      <c r="S81" s="1191"/>
      <c r="T81" s="1191"/>
      <c r="U81" s="1191"/>
      <c r="V81" s="1191"/>
      <c r="W81" s="1191"/>
      <c r="X81" s="1191"/>
      <c r="Y81" s="1191"/>
      <c r="Z81" s="1191"/>
      <c r="AA81" s="1191"/>
      <c r="AB81" s="1191"/>
      <c r="AC81" s="1191"/>
      <c r="AD81" s="1191"/>
      <c r="AE81" s="1192"/>
      <c r="AF81" s="1190"/>
      <c r="AG81" s="1190"/>
      <c r="AH81" s="1190"/>
      <c r="AI81" s="1190"/>
      <c r="AJ81" s="1190"/>
      <c r="AK81" s="1190"/>
      <c r="AL81" s="1992"/>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row>
    <row s="1639" customFormat="1" customHeight="1" ht="0.75">
      <c r="A82" s="1170"/>
      <c r="B82" s="1170"/>
      <c r="C82" s="1170"/>
      <c r="D82" s="1164"/>
      <c r="E82" s="1174"/>
      <c r="F82" s="2540"/>
      <c r="G82" s="2519"/>
      <c r="H82" s="2544" t="s">
        <v>394</v>
      </c>
      <c r="I82" s="2545"/>
      <c r="J82" s="2546"/>
      <c r="K82" s="2546"/>
      <c r="L82" s="2538"/>
      <c r="M82" s="2272"/>
      <c r="N82" s="2040"/>
      <c r="O82" s="2039"/>
      <c r="P82" s="2040"/>
      <c r="Q82" s="2040"/>
      <c r="R82" s="2040"/>
      <c r="S82" s="2040"/>
      <c r="T82" s="2040"/>
      <c r="U82" s="2040"/>
      <c r="V82" s="2040"/>
      <c r="W82" s="2040"/>
      <c r="X82" s="2040"/>
      <c r="Y82" s="2040"/>
      <c r="Z82" s="2040"/>
      <c r="AA82" s="2040"/>
      <c r="AB82" s="2040"/>
      <c r="AC82" s="2040"/>
      <c r="AD82" s="2040"/>
      <c r="AE82" s="2040"/>
      <c r="AF82" s="2542"/>
      <c r="AG82" s="2538"/>
      <c r="AH82" s="2538"/>
      <c r="AI82" s="2542"/>
      <c r="AJ82" s="2538"/>
      <c r="AK82" s="2538"/>
      <c r="AL82" s="1992"/>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row>
    <row s="1639" customFormat="1" customHeight="1" ht="0.75">
      <c r="A83" s="1170"/>
      <c r="B83" s="1170"/>
      <c r="C83" s="1170"/>
      <c r="D83" s="1164"/>
      <c r="E83" s="1174"/>
      <c r="F83" s="2540"/>
      <c r="G83" s="2519"/>
      <c r="H83" s="2544"/>
      <c r="I83" s="2545"/>
      <c r="J83" s="2546"/>
      <c r="K83" s="2546"/>
      <c r="L83" s="2538"/>
      <c r="M83" s="2272"/>
      <c r="N83" s="2547"/>
      <c r="O83" s="2548"/>
      <c r="P83" s="2592"/>
      <c r="Q83" s="2543"/>
      <c r="R83" s="2543"/>
      <c r="S83" s="2543"/>
      <c r="T83" s="2543"/>
      <c r="U83" s="2543"/>
      <c r="V83" s="2543"/>
      <c r="W83" s="2543"/>
      <c r="X83" s="2543"/>
      <c r="Y83" s="2543"/>
      <c r="Z83" s="2041"/>
      <c r="AA83" s="2042"/>
      <c r="AB83" s="2042"/>
      <c r="AC83" s="2043"/>
      <c r="AD83" s="2043"/>
      <c r="AE83" s="2044"/>
      <c r="AF83" s="2542"/>
      <c r="AG83" s="2538"/>
      <c r="AH83" s="2538"/>
      <c r="AI83" s="2542"/>
      <c r="AJ83" s="2538"/>
      <c r="AK83" s="2538"/>
      <c r="AL83" s="1992"/>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row>
    <row s="1639" customFormat="1" customHeight="1" ht="0.75">
      <c r="A84" s="1170"/>
      <c r="B84" s="1170"/>
      <c r="C84" s="1170"/>
      <c r="D84" s="1164"/>
      <c r="E84" s="1174"/>
      <c r="F84" s="2540"/>
      <c r="G84" s="2519"/>
      <c r="H84" s="2544"/>
      <c r="I84" s="2545"/>
      <c r="J84" s="2546"/>
      <c r="K84" s="2546"/>
      <c r="L84" s="2538"/>
      <c r="M84" s="2272"/>
      <c r="N84" s="2547"/>
      <c r="O84" s="2548"/>
      <c r="P84" s="2593"/>
      <c r="Q84" s="2543"/>
      <c r="R84" s="2543"/>
      <c r="S84" s="2543"/>
      <c r="T84" s="2543"/>
      <c r="U84" s="2543"/>
      <c r="V84" s="2543"/>
      <c r="W84" s="2543"/>
      <c r="X84" s="2543"/>
      <c r="Y84" s="2543"/>
      <c r="Z84" s="2045"/>
      <c r="AA84" s="2046"/>
      <c r="AB84" s="2047"/>
      <c r="AC84" s="2048"/>
      <c r="AD84" s="2047"/>
      <c r="AE84" s="2048"/>
      <c r="AF84" s="2542"/>
      <c r="AG84" s="2538"/>
      <c r="AH84" s="2538"/>
      <c r="AI84" s="2542"/>
      <c r="AJ84" s="2538"/>
      <c r="AK84" s="2538"/>
      <c r="AL84" s="1992"/>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row>
    <row s="1639" customFormat="1" customHeight="1" ht="0.75">
      <c r="A85" s="1170"/>
      <c r="B85" s="1170"/>
      <c r="C85" s="1170"/>
      <c r="D85" s="1164"/>
      <c r="E85" s="1174"/>
      <c r="F85" s="2540"/>
      <c r="G85" s="2519"/>
      <c r="H85" s="2544"/>
      <c r="I85" s="2545"/>
      <c r="J85" s="2546"/>
      <c r="K85" s="2546"/>
      <c r="L85" s="2538"/>
      <c r="M85" s="2272"/>
      <c r="N85" s="2547"/>
      <c r="O85" s="2548"/>
      <c r="P85" s="2594"/>
      <c r="Q85" s="2543"/>
      <c r="R85" s="2543"/>
      <c r="S85" s="2543"/>
      <c r="T85" s="2543"/>
      <c r="U85" s="2543"/>
      <c r="V85" s="2543"/>
      <c r="W85" s="2543"/>
      <c r="X85" s="2543"/>
      <c r="Y85" s="2543"/>
      <c r="Z85" s="2041"/>
      <c r="AA85" s="2042"/>
      <c r="AB85" s="2049"/>
      <c r="AC85" s="2043"/>
      <c r="AD85" s="2043"/>
      <c r="AE85" s="2050"/>
      <c r="AF85" s="2542"/>
      <c r="AG85" s="2538"/>
      <c r="AH85" s="2538"/>
      <c r="AI85" s="2542"/>
      <c r="AJ85" s="2538"/>
      <c r="AK85" s="2538"/>
      <c r="AL85" s="1992"/>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row>
    <row s="1639" customFormat="1" customHeight="1" ht="0.75">
      <c r="A86" s="1170"/>
      <c r="B86" s="1170"/>
      <c r="C86" s="1170"/>
      <c r="D86" s="1164"/>
      <c r="E86" s="1174"/>
      <c r="F86" s="2540"/>
      <c r="G86" s="2519"/>
      <c r="H86" s="2544"/>
      <c r="I86" s="2545"/>
      <c r="J86" s="2546"/>
      <c r="K86" s="2546"/>
      <c r="L86" s="2538"/>
      <c r="M86" s="2272"/>
      <c r="N86" s="2042"/>
      <c r="O86" s="2042"/>
      <c r="P86" s="2049"/>
      <c r="Q86" s="2042"/>
      <c r="R86" s="2042"/>
      <c r="S86" s="2042"/>
      <c r="T86" s="2042"/>
      <c r="U86" s="2042"/>
      <c r="V86" s="2042"/>
      <c r="W86" s="2042"/>
      <c r="X86" s="2042"/>
      <c r="Y86" s="2042"/>
      <c r="Z86" s="2042"/>
      <c r="AA86" s="2042"/>
      <c r="AB86" s="2042"/>
      <c r="AC86" s="2042"/>
      <c r="AD86" s="2042"/>
      <c r="AE86" s="2051"/>
      <c r="AF86" s="2542"/>
      <c r="AG86" s="2538"/>
      <c r="AH86" s="2538"/>
      <c r="AI86" s="2542"/>
      <c r="AJ86" s="2538"/>
      <c r="AK86" s="2538"/>
      <c r="AL86" s="1992"/>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row>
    <row s="1639" customFormat="1" customHeight="1" ht="12">
      <c r="A87" s="1170"/>
      <c r="B87" s="1170"/>
      <c r="C87" s="1170"/>
      <c r="D87" s="1164"/>
      <c r="E87" s="1174"/>
      <c r="F87" s="2541"/>
      <c r="G87" s="1194"/>
      <c r="H87" s="1194"/>
      <c r="I87" s="2539" t="s">
        <v>1321</v>
      </c>
      <c r="J87" s="2539"/>
      <c r="K87" s="2539"/>
      <c r="L87" s="1177"/>
      <c r="M87" s="1177"/>
      <c r="N87" s="1178"/>
      <c r="O87" s="1178"/>
      <c r="P87" s="1178"/>
      <c r="Q87" s="1178"/>
      <c r="R87" s="1178"/>
      <c r="S87" s="1178"/>
      <c r="T87" s="1178"/>
      <c r="U87" s="1178"/>
      <c r="V87" s="1178"/>
      <c r="W87" s="1178"/>
      <c r="X87" s="1178"/>
      <c r="Y87" s="1178"/>
      <c r="Z87" s="1178"/>
      <c r="AA87" s="1178"/>
      <c r="AB87" s="1178"/>
      <c r="AC87" s="1178"/>
      <c r="AD87" s="1178"/>
      <c r="AE87" s="1178"/>
      <c r="AF87" s="1178"/>
      <c r="AG87" s="1177"/>
      <c r="AH87" s="1177"/>
      <c r="AI87" s="1178"/>
      <c r="AJ87" s="1177"/>
      <c r="AK87" s="1178"/>
      <c r="AL87" s="1992"/>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row>
    <row r="89" s="1819" customFormat="1" customHeight="1" ht="11.25">
      <c r="A89" s="1819" t="s">
        <v>2223</v>
      </c>
    </row>
    <row r="91" s="1639" customFormat="1" customHeight="1" ht="11.25">
      <c r="A91" s="1170"/>
      <c r="B91" s="1170"/>
      <c r="C91" s="1170"/>
      <c r="D91" s="1164"/>
      <c r="E91" s="1174"/>
      <c r="F91" s="1833"/>
      <c r="G91" s="1834"/>
      <c r="H91" s="1834"/>
      <c r="I91" s="1768"/>
      <c r="J91" s="1768"/>
      <c r="K91" s="1835"/>
      <c r="L91" s="1768"/>
      <c r="M91" s="1834"/>
      <c r="N91" s="2512"/>
      <c r="O91" s="2595">
        <v>1</v>
      </c>
      <c r="P91" s="2514" t="s">
        <v>19</v>
      </c>
      <c r="Q91" s="2517" t="s">
        <v>22</v>
      </c>
      <c r="R91" s="2517" t="s">
        <v>22</v>
      </c>
      <c r="S91" s="2517" t="s">
        <v>22</v>
      </c>
      <c r="T91" s="2517" t="s">
        <v>22</v>
      </c>
      <c r="U91" s="2517" t="s">
        <v>22</v>
      </c>
      <c r="V91" s="2517" t="s">
        <v>22</v>
      </c>
      <c r="W91" s="2517" t="s">
        <v>22</v>
      </c>
      <c r="X91" s="2517" t="s">
        <v>22</v>
      </c>
      <c r="Y91" s="2517"/>
      <c r="Z91" s="1179"/>
      <c r="AA91" s="1180"/>
      <c r="AB91" s="1180"/>
      <c r="AC91" s="1184"/>
      <c r="AD91" s="1184"/>
      <c r="AE91" s="1184"/>
      <c r="AF91" s="1836"/>
      <c r="AG91" s="1763"/>
      <c r="AH91" s="1763"/>
      <c r="AI91" s="1836"/>
      <c r="AJ91" s="1763"/>
      <c r="AK91" s="1991"/>
      <c r="AL91" s="1992"/>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row>
    <row s="1639" customFormat="1" customHeight="1" ht="11.25">
      <c r="A92" s="1170"/>
      <c r="B92" s="1170"/>
      <c r="C92" s="1170"/>
      <c r="D92" s="1164"/>
      <c r="E92" s="1174"/>
      <c r="F92" s="1833"/>
      <c r="G92" s="1834"/>
      <c r="H92" s="1834"/>
      <c r="I92" s="1769"/>
      <c r="J92" s="1769"/>
      <c r="K92" s="1835"/>
      <c r="L92" s="1769"/>
      <c r="M92" s="1834"/>
      <c r="N92" s="2512"/>
      <c r="O92" s="2595"/>
      <c r="P92" s="2515"/>
      <c r="Q92" s="2517"/>
      <c r="R92" s="2517"/>
      <c r="S92" s="2518"/>
      <c r="T92" s="2517"/>
      <c r="U92" s="2517"/>
      <c r="V92" s="2517"/>
      <c r="W92" s="2517"/>
      <c r="X92" s="2517"/>
      <c r="Y92" s="2517"/>
      <c r="Z92" s="1832"/>
      <c r="AA92" s="1798">
        <v>1</v>
      </c>
      <c r="AB92" s="1183"/>
      <c r="AC92" s="1173"/>
      <c r="AD92" s="1183">
        <f>AB92</f>
        <v>0</v>
      </c>
      <c r="AE92" s="728"/>
      <c r="AF92" s="1835"/>
      <c r="AG92" s="1763"/>
      <c r="AH92" s="1763"/>
      <c r="AI92" s="1835"/>
      <c r="AJ92" s="1763"/>
      <c r="AK92" s="1991"/>
      <c r="AL92" s="1992"/>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row>
    <row s="1639" customFormat="1" customHeight="1" ht="11.25">
      <c r="A93" s="1170"/>
      <c r="B93" s="1170"/>
      <c r="C93" s="1170"/>
      <c r="D93" s="1164"/>
      <c r="E93" s="1174"/>
      <c r="F93" s="1833"/>
      <c r="G93" s="1834"/>
      <c r="H93" s="1834"/>
      <c r="I93" s="1770"/>
      <c r="J93" s="1770"/>
      <c r="K93" s="1835"/>
      <c r="L93" s="1770"/>
      <c r="M93" s="1834"/>
      <c r="N93" s="2512"/>
      <c r="O93" s="2595"/>
      <c r="P93" s="2516"/>
      <c r="Q93" s="2517"/>
      <c r="R93" s="2517"/>
      <c r="S93" s="2518"/>
      <c r="T93" s="2517"/>
      <c r="U93" s="2517"/>
      <c r="V93" s="2517"/>
      <c r="W93" s="2517"/>
      <c r="X93" s="2517"/>
      <c r="Y93" s="2517"/>
      <c r="Z93" s="1179"/>
      <c r="AA93" s="1180"/>
      <c r="AB93" s="1245" t="s">
        <v>1307</v>
      </c>
      <c r="AC93" s="1184"/>
      <c r="AD93" s="1184"/>
      <c r="AE93" s="1184"/>
      <c r="AF93" s="1837"/>
      <c r="AG93" s="1763"/>
      <c r="AH93" s="1763"/>
      <c r="AI93" s="1837"/>
      <c r="AJ93" s="1763"/>
      <c r="AK93" s="1991"/>
      <c r="AL93" s="1992"/>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row>
    <row r="95" s="1819" customFormat="1" customHeight="1" ht="11.25">
      <c r="A95" s="1819" t="s">
        <v>2224</v>
      </c>
    </row>
    <row r="97" s="1639" customFormat="1" customHeight="1" ht="11.25">
      <c r="A97" s="1170"/>
      <c r="B97" s="1170"/>
      <c r="C97" s="1170"/>
      <c r="D97" s="1164"/>
      <c r="E97" s="1174"/>
      <c r="F97" s="1834"/>
      <c r="G97" s="1834"/>
      <c r="H97" s="1834"/>
      <c r="I97" s="1834"/>
      <c r="J97" s="1834"/>
      <c r="K97" s="1834"/>
      <c r="L97" s="1834"/>
      <c r="M97" s="1834"/>
      <c r="N97" s="1834"/>
      <c r="O97" s="1834"/>
      <c r="P97" s="1834"/>
      <c r="Q97" s="1834"/>
      <c r="R97" s="1834"/>
      <c r="S97" s="1834"/>
      <c r="T97" s="1834"/>
      <c r="U97" s="1834"/>
      <c r="V97" s="1834"/>
      <c r="W97" s="1834"/>
      <c r="X97" s="1834"/>
      <c r="Y97" s="1834"/>
      <c r="Z97" s="1838"/>
      <c r="AA97" s="1818">
        <v>1</v>
      </c>
      <c r="AB97" s="1183"/>
      <c r="AC97" s="1173"/>
      <c r="AD97" s="1183">
        <f>AB97</f>
        <v>0</v>
      </c>
      <c r="AE97" s="1173"/>
      <c r="AF97" s="1835"/>
      <c r="AG97" s="1763"/>
      <c r="AH97" s="1763"/>
      <c r="AI97" s="1835"/>
      <c r="AJ97" s="1763"/>
      <c r="AK97" s="1991"/>
      <c r="AL97" s="1992"/>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row>
    <row r="99" s="1819" customFormat="1" customHeight="1" ht="11.25">
      <c r="A99" s="1819" t="s">
        <v>2225</v>
      </c>
    </row>
    <row r="101" s="1639" customFormat="1" customHeight="1" ht="11.25">
      <c r="A101" s="1170"/>
      <c r="B101" s="1170"/>
      <c r="C101" s="1170"/>
      <c r="D101" s="1164"/>
      <c r="E101" s="1174"/>
      <c r="F101" s="1833"/>
      <c r="G101" s="1834"/>
      <c r="H101" s="2519" t="s">
        <v>119</v>
      </c>
      <c r="I101" s="2520"/>
      <c r="J101" s="2489"/>
      <c r="K101" s="2521"/>
      <c r="L101" s="2111" t="s">
        <v>19</v>
      </c>
      <c r="M101" s="2112"/>
      <c r="N101" s="1990"/>
      <c r="O101" s="1181" t="s">
        <v>394</v>
      </c>
      <c r="P101" s="1182"/>
      <c r="Q101" s="1182"/>
      <c r="R101" s="1182"/>
      <c r="S101" s="1182"/>
      <c r="T101" s="1182"/>
      <c r="U101" s="1182"/>
      <c r="V101" s="1182"/>
      <c r="W101" s="1182"/>
      <c r="X101" s="1182"/>
      <c r="Y101" s="1182"/>
      <c r="Z101" s="1182"/>
      <c r="AA101" s="1182"/>
      <c r="AB101" s="1182"/>
      <c r="AC101" s="1182"/>
      <c r="AD101" s="1182"/>
      <c r="AE101" s="1182"/>
      <c r="AF101" s="2510"/>
      <c r="AG101" s="2511"/>
      <c r="AH101" s="2511"/>
      <c r="AI101" s="2510"/>
      <c r="AJ101" s="2511"/>
      <c r="AK101" s="2511"/>
      <c r="AL101" s="1992"/>
      <c r="AM101" s="1827"/>
      <c r="AN101" s="1827"/>
      <c r="AO101" s="1827"/>
      <c r="AP101" s="1827"/>
      <c r="AQ101" s="1827"/>
      <c r="AR101" s="1827"/>
      <c r="AS101" s="1827"/>
      <c r="AT101" s="1827"/>
      <c r="AU101" s="1827"/>
      <c r="AV101" s="1827"/>
      <c r="AW101" s="1827"/>
      <c r="AX101" s="1827"/>
      <c r="AY101" s="1827"/>
      <c r="AZ101" s="1827"/>
      <c r="BA101" s="1827"/>
      <c r="BB101" s="1827"/>
      <c r="BC101" s="1827"/>
      <c r="BD101" s="1827"/>
      <c r="BE101" s="1827"/>
      <c r="BF101" s="1827"/>
    </row>
    <row s="1639" customFormat="1" customHeight="1" ht="11.25">
      <c r="A102" s="1170"/>
      <c r="B102" s="1170"/>
      <c r="C102" s="1170"/>
      <c r="D102" s="1164"/>
      <c r="E102" s="1174"/>
      <c r="F102" s="1833"/>
      <c r="G102" s="1834"/>
      <c r="H102" s="2519"/>
      <c r="I102" s="2520"/>
      <c r="J102" s="2489"/>
      <c r="K102" s="2521"/>
      <c r="L102" s="2111"/>
      <c r="M102" s="2112"/>
      <c r="N102" s="2512"/>
      <c r="O102" s="2513">
        <v>1</v>
      </c>
      <c r="P102" s="2514" t="s">
        <v>19</v>
      </c>
      <c r="Q102" s="2517" t="s">
        <v>22</v>
      </c>
      <c r="R102" s="2517" t="s">
        <v>22</v>
      </c>
      <c r="S102" s="2517" t="s">
        <v>22</v>
      </c>
      <c r="T102" s="2517" t="s">
        <v>22</v>
      </c>
      <c r="U102" s="2517" t="s">
        <v>22</v>
      </c>
      <c r="V102" s="2517" t="s">
        <v>22</v>
      </c>
      <c r="W102" s="2517" t="s">
        <v>22</v>
      </c>
      <c r="X102" s="2517" t="s">
        <v>22</v>
      </c>
      <c r="Y102" s="2517"/>
      <c r="Z102" s="1179"/>
      <c r="AA102" s="1180"/>
      <c r="AB102" s="1180"/>
      <c r="AC102" s="1184"/>
      <c r="AD102" s="1184"/>
      <c r="AE102" s="1185"/>
      <c r="AF102" s="2510"/>
      <c r="AG102" s="2511"/>
      <c r="AH102" s="2511"/>
      <c r="AI102" s="2510"/>
      <c r="AJ102" s="2511"/>
      <c r="AK102" s="2511"/>
      <c r="AL102" s="1992"/>
      <c r="AM102" s="1827"/>
      <c r="AN102" s="1827"/>
      <c r="AO102" s="1827"/>
      <c r="AP102" s="1827"/>
      <c r="AQ102" s="1827"/>
      <c r="AR102" s="1827"/>
      <c r="AS102" s="1827"/>
      <c r="AT102" s="1827"/>
      <c r="AU102" s="1827"/>
      <c r="AV102" s="1827"/>
      <c r="AW102" s="1827"/>
      <c r="AX102" s="1827"/>
      <c r="AY102" s="1827"/>
      <c r="AZ102" s="1827"/>
      <c r="BA102" s="1827"/>
      <c r="BB102" s="1827"/>
      <c r="BC102" s="1827"/>
      <c r="BD102" s="1827"/>
      <c r="BE102" s="1827"/>
      <c r="BF102" s="1827"/>
    </row>
    <row s="1639" customFormat="1" customHeight="1" ht="11.25">
      <c r="A103" s="1170"/>
      <c r="B103" s="1170"/>
      <c r="C103" s="1170"/>
      <c r="D103" s="1164"/>
      <c r="E103" s="1174"/>
      <c r="F103" s="1833"/>
      <c r="G103" s="1834"/>
      <c r="H103" s="2519"/>
      <c r="I103" s="2520"/>
      <c r="J103" s="2489"/>
      <c r="K103" s="2521"/>
      <c r="L103" s="2111"/>
      <c r="M103" s="2112"/>
      <c r="N103" s="2512"/>
      <c r="O103" s="2513"/>
      <c r="P103" s="2515"/>
      <c r="Q103" s="2517"/>
      <c r="R103" s="2517"/>
      <c r="S103" s="2518"/>
      <c r="T103" s="2517"/>
      <c r="U103" s="2517"/>
      <c r="V103" s="2517"/>
      <c r="W103" s="2517"/>
      <c r="X103" s="2517"/>
      <c r="Y103" s="2517"/>
      <c r="Z103" s="1832"/>
      <c r="AA103" s="1798">
        <v>1</v>
      </c>
      <c r="AB103" s="1183"/>
      <c r="AC103" s="1173"/>
      <c r="AD103" s="1183">
        <f>AB103</f>
        <v>0</v>
      </c>
      <c r="AE103" s="1173"/>
      <c r="AF103" s="2510"/>
      <c r="AG103" s="2511"/>
      <c r="AH103" s="2511"/>
      <c r="AI103" s="2510"/>
      <c r="AJ103" s="2511"/>
      <c r="AK103" s="2511"/>
      <c r="AL103" s="1992"/>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row>
    <row s="1639" customFormat="1" customHeight="1" ht="11.25">
      <c r="A104" s="1170"/>
      <c r="B104" s="1170"/>
      <c r="C104" s="1170"/>
      <c r="D104" s="1164"/>
      <c r="E104" s="1174"/>
      <c r="F104" s="1833"/>
      <c r="G104" s="1834"/>
      <c r="H104" s="2519"/>
      <c r="I104" s="2520"/>
      <c r="J104" s="2489"/>
      <c r="K104" s="2521"/>
      <c r="L104" s="2111"/>
      <c r="M104" s="2112"/>
      <c r="N104" s="2512"/>
      <c r="O104" s="2513"/>
      <c r="P104" s="2516"/>
      <c r="Q104" s="2517"/>
      <c r="R104" s="2517"/>
      <c r="S104" s="2518"/>
      <c r="T104" s="2517"/>
      <c r="U104" s="2517"/>
      <c r="V104" s="2517"/>
      <c r="W104" s="2517"/>
      <c r="X104" s="2517"/>
      <c r="Y104" s="2517"/>
      <c r="Z104" s="1179"/>
      <c r="AA104" s="1180"/>
      <c r="AB104" s="1245" t="s">
        <v>1307</v>
      </c>
      <c r="AC104" s="1184"/>
      <c r="AD104" s="1184"/>
      <c r="AE104" s="1186"/>
      <c r="AF104" s="2510"/>
      <c r="AG104" s="2511"/>
      <c r="AH104" s="2511"/>
      <c r="AI104" s="2510"/>
      <c r="AJ104" s="2511"/>
      <c r="AK104" s="2511"/>
      <c r="AL104" s="1992"/>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row>
    <row s="1639" customFormat="1" customHeight="1" ht="11.25">
      <c r="A105" s="1170"/>
      <c r="B105" s="1170"/>
      <c r="C105" s="1170"/>
      <c r="D105" s="1164"/>
      <c r="E105" s="1174"/>
      <c r="F105" s="1833"/>
      <c r="G105" s="1834"/>
      <c r="H105" s="2519"/>
      <c r="I105" s="2520"/>
      <c r="J105" s="2489"/>
      <c r="K105" s="2521"/>
      <c r="L105" s="2111"/>
      <c r="M105" s="2112"/>
      <c r="N105" s="1179"/>
      <c r="O105" s="1180"/>
      <c r="P105" s="1172" t="s">
        <v>1308</v>
      </c>
      <c r="Q105" s="1180"/>
      <c r="R105" s="1180"/>
      <c r="S105" s="1180"/>
      <c r="T105" s="1180"/>
      <c r="U105" s="1180"/>
      <c r="V105" s="1180"/>
      <c r="W105" s="1180"/>
      <c r="X105" s="1180"/>
      <c r="Y105" s="1180"/>
      <c r="Z105" s="1180"/>
      <c r="AA105" s="1180"/>
      <c r="AB105" s="1180"/>
      <c r="AC105" s="1180"/>
      <c r="AD105" s="1180"/>
      <c r="AE105" s="1187"/>
      <c r="AF105" s="2510"/>
      <c r="AG105" s="2511"/>
      <c r="AH105" s="2511"/>
      <c r="AI105" s="2510"/>
      <c r="AJ105" s="2511"/>
      <c r="AK105" s="2511"/>
      <c r="AL105" s="1992"/>
      <c r="AM105" s="1827"/>
      <c r="AN105" s="1827"/>
      <c r="AO105" s="1827"/>
      <c r="AP105" s="1827"/>
      <c r="AQ105" s="1827"/>
      <c r="AR105" s="1827"/>
      <c r="AS105" s="1827"/>
      <c r="AT105" s="1827"/>
      <c r="AU105" s="1827"/>
      <c r="AV105" s="1827"/>
      <c r="AW105" s="1827"/>
      <c r="AX105" s="1827"/>
      <c r="AY105" s="1827"/>
      <c r="AZ105" s="1827"/>
      <c r="BA105" s="1827"/>
      <c r="BB105" s="1827"/>
      <c r="BC105" s="1827"/>
      <c r="BD105" s="1827"/>
      <c r="BE105" s="1827"/>
      <c r="BF105" s="1827"/>
    </row>
    <row r="107" s="1819" customFormat="1" customHeight="1" ht="11.25">
      <c r="A107" s="1819" t="s">
        <v>2226</v>
      </c>
    </row>
    <row customHeight="1" ht="17.25"/>
    <row s="929" customFormat="1" customHeight="1" ht="21">
      <c r="A109" s="1171"/>
      <c r="B109" s="944"/>
      <c r="D109" s="928"/>
      <c r="E109" s="943" t="s">
        <v>22</v>
      </c>
      <c r="F109" s="1125">
        <f>INDEX(IP_MAIN_LIST_NAME_IP,MATCH(A109,IP_MAIN_LIST_IP_ID,0))&amp;" ("&amp;INDEX(IP_MAIN_START_DATE,MATCH(A109,IP_MAIN_LIST_IP_ID,0))&amp;"-"&amp;INDEX(IP_MAIN_END_DATE,MATCH(A109,IP_MAIN_LIST_IP_ID,0))&amp;")"</f>
      </c>
      <c r="G109" s="1207"/>
      <c r="H109" s="1208"/>
      <c r="I109" s="1208"/>
      <c r="J109" s="1208"/>
      <c r="K109" s="1208"/>
      <c r="L109" s="1208"/>
      <c r="M109" s="1208"/>
      <c r="N109" s="1208"/>
      <c r="O109" s="1207"/>
      <c r="P109" s="1207"/>
      <c r="Q109" s="1207"/>
      <c r="R109" s="1207"/>
      <c r="S109" s="1207"/>
      <c r="T109" s="1207"/>
      <c r="U109" s="1209"/>
      <c r="V109" s="1209"/>
      <c r="W109" s="1209"/>
      <c r="X109" s="1209"/>
      <c r="Y109" s="1209"/>
      <c r="Z109" s="1209"/>
      <c r="AA109" s="1209"/>
      <c r="AB109" s="1207"/>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8"/>
      <c r="BF109" s="1208"/>
      <c r="BG109" s="1208"/>
      <c r="BH109" s="1208"/>
      <c r="BI109" s="1208"/>
      <c r="BJ109" s="1208"/>
      <c r="BK109" s="1208"/>
      <c r="BL109" s="1208"/>
      <c r="BM109" s="1208"/>
      <c r="BN109" s="1208"/>
      <c r="BO109" s="1208"/>
      <c r="BP109" s="1208"/>
      <c r="BQ109" s="1208"/>
      <c r="BR109" s="1208"/>
      <c r="BS109" s="1208"/>
      <c r="BT109" s="1208"/>
      <c r="BU109" s="1208"/>
      <c r="BV109" s="1208"/>
      <c r="BW109" s="1208"/>
      <c r="BX109" s="1208"/>
      <c r="BY109" s="1208"/>
      <c r="BZ109" s="1208"/>
      <c r="CA109" s="1208"/>
      <c r="CB109" s="1208"/>
      <c r="CC109" s="1208"/>
      <c r="CD109" s="1208"/>
      <c r="CE109" s="1208"/>
      <c r="CF109" s="1208"/>
      <c r="CG109" s="1208"/>
      <c r="CH109" s="1208"/>
      <c r="CI109" s="1208"/>
      <c r="CJ109" s="1208"/>
      <c r="CK109" s="1208"/>
      <c r="CL109" s="1210"/>
      <c r="CM109" s="1210"/>
      <c r="CN109" s="1210"/>
      <c r="CO109" s="1210"/>
      <c r="CP109" s="1210"/>
      <c r="CQ109" s="1210"/>
      <c r="CR109" s="1210"/>
      <c r="CS109" s="1210"/>
      <c r="CT109" s="1210"/>
      <c r="CU109" s="1210"/>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10"/>
      <c r="ET109" s="1210"/>
      <c r="EU109" s="1210"/>
      <c r="EV109" s="1210"/>
      <c r="EW109" s="1210"/>
      <c r="EX109" s="1210"/>
      <c r="EY109" s="1210"/>
      <c r="EZ109" s="1210"/>
      <c r="FA109" s="1210"/>
      <c r="FB109" s="1210"/>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c r="FV109" s="1211"/>
      <c r="FW109" s="1205"/>
      <c r="FX109" s="1206"/>
    </row>
    <row s="929" customFormat="1" customHeight="1" ht="24.75">
      <c r="B110" s="927"/>
      <c r="C110" s="928"/>
      <c r="D110" s="928"/>
      <c r="E110" s="1839"/>
      <c r="F110" s="1212">
        <v>1</v>
      </c>
      <c r="G110" s="1213"/>
      <c r="H110" s="1214"/>
      <c r="I110" s="1986"/>
      <c r="J110" s="1215"/>
      <c r="K110" s="1215"/>
      <c r="L110" s="1215"/>
      <c r="M110" s="1215"/>
      <c r="N110" s="1215"/>
      <c r="O110" s="1216"/>
      <c r="P110" s="1216"/>
      <c r="Q110" s="1216"/>
      <c r="R110" s="1216"/>
      <c r="S110" s="1216"/>
      <c r="T110" s="1216"/>
      <c r="U110" s="1216"/>
      <c r="V110" s="1216"/>
      <c r="W110" s="1216"/>
      <c r="X110" s="1216"/>
      <c r="Y110" s="1216"/>
      <c r="Z110" s="1216"/>
      <c r="AA110" s="1216"/>
      <c r="AB110" s="1216"/>
      <c r="AC110" s="1215"/>
      <c r="AD110" s="1215"/>
      <c r="AE110" s="1215"/>
      <c r="AF110" s="1215"/>
      <c r="AG110" s="1215"/>
      <c r="AH110" s="1215"/>
      <c r="AI110" s="1215"/>
      <c r="AJ110" s="1215"/>
      <c r="AK110" s="1215"/>
      <c r="AL110" s="1215"/>
      <c r="AM110" s="1215"/>
      <c r="AN110" s="1215"/>
      <c r="AO110" s="1215"/>
      <c r="AP110" s="1215"/>
      <c r="AQ110" s="1215"/>
      <c r="AR110" s="1215"/>
      <c r="AS110" s="1215"/>
      <c r="AT110" s="1215"/>
      <c r="AU110" s="1215"/>
      <c r="AV110" s="1215"/>
      <c r="AW110" s="1215"/>
      <c r="AX110" s="1215"/>
      <c r="AY110" s="1215"/>
      <c r="AZ110" s="1215"/>
      <c r="BA110" s="1215"/>
      <c r="BB110" s="1215"/>
      <c r="BC110" s="1215"/>
      <c r="BD110" s="1215"/>
      <c r="BE110" s="1215"/>
      <c r="BF110" s="1215"/>
      <c r="BG110" s="1215"/>
      <c r="BH110" s="1215"/>
      <c r="BI110" s="1215"/>
      <c r="BJ110" s="1215"/>
      <c r="BK110" s="1215"/>
      <c r="BL110" s="1215"/>
      <c r="BM110" s="1215"/>
      <c r="BN110" s="1215"/>
      <c r="BO110" s="1215"/>
      <c r="BP110" s="1215"/>
      <c r="BQ110" s="1215"/>
      <c r="BR110" s="1215"/>
      <c r="BS110" s="1215"/>
      <c r="BT110" s="1216"/>
      <c r="BU110" s="1216"/>
      <c r="BV110" s="1216"/>
      <c r="BW110" s="1216"/>
      <c r="BX110" s="1216"/>
      <c r="BY110" s="1216"/>
      <c r="BZ110" s="1216"/>
      <c r="CA110" s="1216"/>
      <c r="CB110" s="1216"/>
      <c r="CC110" s="1216"/>
      <c r="CD110" s="1216"/>
      <c r="CE110" s="1216"/>
      <c r="CF110" s="1216"/>
      <c r="CG110" s="1216"/>
      <c r="CH110" s="1216"/>
      <c r="CI110" s="1216"/>
      <c r="CJ110" s="1216"/>
      <c r="CK110" s="1216"/>
      <c r="CL110" s="1215"/>
      <c r="CM110" s="1215"/>
      <c r="CN110" s="1215"/>
      <c r="CO110" s="1215"/>
      <c r="CP110" s="1215"/>
      <c r="CQ110" s="1215"/>
      <c r="CR110" s="1215"/>
      <c r="CS110" s="1215"/>
      <c r="CT110" s="1215"/>
      <c r="CU110" s="1215"/>
      <c r="CV110" s="1215"/>
      <c r="CW110" s="1215"/>
      <c r="CX110" s="1215"/>
      <c r="CY110" s="1216"/>
      <c r="CZ110" s="1216"/>
      <c r="DA110" s="1216"/>
      <c r="DB110" s="1216"/>
      <c r="DC110" s="1216"/>
      <c r="DD110" s="1216"/>
      <c r="DE110" s="1216"/>
      <c r="DF110" s="1216"/>
      <c r="DG110" s="1216"/>
      <c r="DH110" s="1216"/>
      <c r="DI110" s="1216"/>
      <c r="DJ110" s="1216"/>
      <c r="DK110" s="1215"/>
      <c r="DL110" s="1215"/>
      <c r="DM110" s="1215"/>
      <c r="DN110" s="1215"/>
      <c r="DO110" s="1215"/>
      <c r="DP110" s="1215"/>
      <c r="DQ110" s="1215"/>
      <c r="DR110" s="1215"/>
      <c r="DS110" s="1215"/>
      <c r="DT110" s="1215"/>
      <c r="DU110" s="1215"/>
      <c r="DV110" s="1215"/>
      <c r="DW110" s="1215"/>
      <c r="DX110" s="1215"/>
      <c r="DY110" s="1215"/>
      <c r="DZ110" s="1215"/>
      <c r="EA110" s="1215"/>
      <c r="EB110" s="1215"/>
      <c r="EC110" s="1215"/>
      <c r="ED110" s="1215"/>
      <c r="EE110" s="1215"/>
      <c r="EF110" s="1215"/>
      <c r="EG110" s="1215"/>
      <c r="EH110" s="1215"/>
      <c r="EI110" s="1215"/>
      <c r="EJ110" s="1215"/>
      <c r="EK110" s="1215"/>
      <c r="EL110" s="1215"/>
      <c r="EM110" s="1215"/>
      <c r="EN110" s="1215"/>
      <c r="EO110" s="1215"/>
      <c r="EP110" s="1215"/>
      <c r="EQ110" s="1215"/>
      <c r="ER110" s="1215"/>
      <c r="ES110" s="1215"/>
      <c r="ET110" s="1215"/>
      <c r="EU110" s="1215"/>
      <c r="EV110" s="1215"/>
      <c r="EW110" s="1215"/>
      <c r="EX110" s="1215"/>
      <c r="EY110" s="1215"/>
      <c r="EZ110" s="1215"/>
      <c r="FA110" s="1215"/>
      <c r="FB110" s="1215"/>
      <c r="FC110" s="1215"/>
      <c r="FD110" s="1215"/>
      <c r="FE110" s="1215"/>
      <c r="FF110" s="1215"/>
      <c r="FG110" s="1215"/>
      <c r="FH110" s="1215"/>
      <c r="FI110" s="1215"/>
      <c r="FJ110" s="1215"/>
      <c r="FK110" s="1215"/>
      <c r="FL110" s="1215"/>
      <c r="FM110" s="1215"/>
      <c r="FN110" s="1215"/>
      <c r="FO110" s="1215"/>
      <c r="FP110" s="1215"/>
      <c r="FQ110" s="1215"/>
      <c r="FR110" s="1215"/>
      <c r="FS110" s="1215"/>
      <c r="FT110" s="1215"/>
      <c r="FU110" s="1215"/>
      <c r="FV110" s="1215"/>
      <c r="FW110" s="1215"/>
      <c r="FX110" s="1206"/>
    </row>
    <row s="929" customFormat="1" customHeight="1" ht="12">
      <c r="A111" s="928"/>
      <c r="B111" s="927"/>
      <c r="C111" s="928"/>
      <c r="D111" s="928"/>
      <c r="E111" s="928"/>
      <c r="F111" s="1217"/>
      <c r="G111" s="1804" t="s">
        <v>1430</v>
      </c>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c r="AU111" s="1218"/>
      <c r="AV111" s="1218"/>
      <c r="AW111" s="1218"/>
      <c r="AX111" s="1218"/>
      <c r="AY111" s="1218"/>
      <c r="AZ111" s="1218"/>
      <c r="BA111" s="1218"/>
      <c r="BB111" s="1218"/>
      <c r="BC111" s="1218"/>
      <c r="BD111" s="1218"/>
      <c r="BE111" s="1218"/>
      <c r="BF111" s="1218"/>
      <c r="BG111" s="1218"/>
      <c r="BH111" s="1218"/>
      <c r="BI111" s="1218"/>
      <c r="BJ111" s="1218"/>
      <c r="BK111" s="1218"/>
      <c r="BL111" s="1218"/>
      <c r="BM111" s="1218"/>
      <c r="BN111" s="1218"/>
      <c r="BO111" s="1218"/>
      <c r="BP111" s="1218"/>
      <c r="BQ111" s="1218"/>
      <c r="BR111" s="1218"/>
      <c r="BS111" s="1218"/>
      <c r="BT111" s="1218"/>
      <c r="BU111" s="1218"/>
      <c r="BV111" s="1218"/>
      <c r="BW111" s="1218"/>
      <c r="BX111" s="1218"/>
      <c r="BY111" s="1218"/>
      <c r="BZ111" s="1218"/>
      <c r="CA111" s="1218"/>
      <c r="CB111" s="1218"/>
      <c r="CC111" s="1218"/>
      <c r="CD111" s="1218"/>
      <c r="CE111" s="1218"/>
      <c r="CF111" s="1218"/>
      <c r="CG111" s="1218"/>
      <c r="CH111" s="1218"/>
      <c r="CI111" s="1218"/>
      <c r="CJ111" s="1218"/>
      <c r="CK111" s="1218"/>
      <c r="CL111" s="1218"/>
      <c r="CM111" s="1218"/>
      <c r="CN111" s="1218"/>
      <c r="CO111" s="1218"/>
      <c r="CP111" s="1218"/>
      <c r="CQ111" s="1218"/>
      <c r="CR111" s="1218"/>
      <c r="CS111" s="1218"/>
      <c r="CT111" s="1218"/>
      <c r="CU111" s="1218"/>
      <c r="CV111" s="1218"/>
      <c r="CW111" s="1218"/>
      <c r="CX111" s="1218"/>
      <c r="CY111" s="1218"/>
      <c r="CZ111" s="1218"/>
      <c r="DA111" s="1218"/>
      <c r="DB111" s="1218"/>
      <c r="DC111" s="1218"/>
      <c r="DD111" s="1218"/>
      <c r="DE111" s="1218"/>
      <c r="DF111" s="1218"/>
      <c r="DG111" s="1218"/>
      <c r="DH111" s="1218"/>
      <c r="DI111" s="1218"/>
      <c r="DJ111" s="1218"/>
      <c r="DK111" s="1218"/>
      <c r="DL111" s="1218"/>
      <c r="DM111" s="1218"/>
      <c r="DN111" s="1218"/>
      <c r="DO111" s="1218"/>
      <c r="DP111" s="1218"/>
      <c r="DQ111" s="1218"/>
      <c r="DR111" s="1218"/>
      <c r="DS111" s="1218"/>
      <c r="DT111" s="1218"/>
      <c r="DU111" s="1218"/>
      <c r="DV111" s="1218"/>
      <c r="DW111" s="1218"/>
      <c r="DX111" s="1218"/>
      <c r="DY111" s="1218"/>
      <c r="DZ111" s="1218"/>
      <c r="EA111" s="1218"/>
      <c r="EB111" s="1218"/>
      <c r="EC111" s="1218"/>
      <c r="ED111" s="1218"/>
      <c r="EE111" s="1218"/>
      <c r="EF111" s="1218"/>
      <c r="EG111" s="1218"/>
      <c r="EH111" s="1218"/>
      <c r="EI111" s="1218"/>
      <c r="EJ111" s="1218"/>
      <c r="EK111" s="1218"/>
      <c r="EL111" s="1218"/>
      <c r="EM111" s="1218"/>
      <c r="EN111" s="1218"/>
      <c r="EO111" s="1218"/>
      <c r="EP111" s="1218"/>
      <c r="EQ111" s="1218"/>
      <c r="ER111" s="1218"/>
      <c r="ES111" s="1218"/>
      <c r="ET111" s="1218"/>
      <c r="EU111" s="1218"/>
      <c r="EV111" s="1218"/>
      <c r="EW111" s="1218"/>
      <c r="EX111" s="1218"/>
      <c r="EY111" s="1218"/>
      <c r="EZ111" s="1218"/>
      <c r="FA111" s="1218"/>
      <c r="FB111" s="1218"/>
      <c r="FC111" s="1218"/>
      <c r="FD111" s="1218"/>
      <c r="FE111" s="1218"/>
      <c r="FF111" s="1218"/>
      <c r="FG111" s="1218"/>
      <c r="FH111" s="1218"/>
      <c r="FI111" s="1218"/>
      <c r="FJ111" s="1218"/>
      <c r="FK111" s="1218"/>
      <c r="FL111" s="1218"/>
      <c r="FM111" s="1218"/>
      <c r="FN111" s="1218"/>
      <c r="FO111" s="1218"/>
      <c r="FP111" s="1218"/>
      <c r="FQ111" s="1218"/>
      <c r="FR111" s="1218"/>
      <c r="FS111" s="1218"/>
      <c r="FT111" s="1218"/>
      <c r="FU111" s="1218"/>
      <c r="FV111" s="1218"/>
      <c r="FW111" s="1219"/>
      <c r="FX111" s="1220"/>
      <c r="FY111" s="945"/>
      <c r="FZ111" s="945"/>
      <c r="GA111" s="945"/>
      <c r="GB111" s="945"/>
    </row>
    <row r="113" s="1819" customFormat="1" customHeight="1" ht="11.25">
      <c r="A113" s="1819" t="s">
        <v>2227</v>
      </c>
    </row>
    <row r="115" s="1854" customFormat="1" customHeight="1" ht="15">
      <c r="A115" s="627"/>
      <c r="B115" s="628"/>
      <c r="C115" s="628"/>
      <c r="D115" s="2582" t="s">
        <v>119</v>
      </c>
      <c r="E115" s="2381" t="s">
        <v>115</v>
      </c>
      <c r="F115" s="2382"/>
      <c r="G115" s="2383"/>
      <c r="H115" s="2387" t="str">
        <f>IF(A115="","",INDEX(DIFFERENTIATION_UNMERGE_VD,MATCH(A115,DIFFERENTIATION_ID_DIFF,0)))</f>
        <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t="s">
        <v>22</v>
      </c>
      <c r="AF115" s="634"/>
      <c r="AG115" s="635" t="s">
        <v>863</v>
      </c>
      <c r="AH115" s="636">
        <v>3</v>
      </c>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row>
    <row s="1854" customFormat="1" customHeight="1" ht="15">
      <c r="A116" s="627"/>
      <c r="B116" s="628"/>
      <c r="C116" s="628"/>
      <c r="D116" s="2583"/>
      <c r="E116" s="2381" t="s">
        <v>582</v>
      </c>
      <c r="F116" s="2382"/>
      <c r="G116" s="2383"/>
      <c r="H116" s="2387" t="str">
        <f>IF(A115="","",INDEX(DIFFERENTIATION_UNMERGE_AREA,MATCH(A115,DIFFERENTIATION_ID_DIFF,0)))</f>
        <v/>
      </c>
      <c r="I116" s="2387"/>
      <c r="J116" s="2387"/>
      <c r="K116" s="2387"/>
      <c r="L116" s="2387"/>
      <c r="M116" s="2387"/>
      <c r="N116" s="2387"/>
      <c r="O116" s="2387"/>
      <c r="P116" s="2387"/>
      <c r="Q116" s="2387"/>
      <c r="R116" s="2387"/>
      <c r="S116" s="723"/>
      <c r="T116" s="720"/>
      <c r="U116" s="629"/>
      <c r="V116" s="629"/>
      <c r="W116" s="630"/>
      <c r="X116" s="630"/>
      <c r="Y116" s="630"/>
      <c r="Z116" s="630"/>
      <c r="AA116" s="631"/>
      <c r="AB116" s="632"/>
      <c r="AC116" s="2379"/>
      <c r="AD116" s="633"/>
      <c r="AE116" s="634"/>
      <c r="AF116" s="634"/>
      <c r="AG116" s="635"/>
      <c r="AH116" s="636"/>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30"/>
      <c r="BW116" s="630"/>
      <c r="BX116" s="630"/>
      <c r="BY116" s="630"/>
      <c r="BZ116" s="630"/>
      <c r="CA116" s="630"/>
      <c r="CB116" s="630"/>
      <c r="CC116" s="630"/>
      <c r="CD116" s="630"/>
      <c r="CE116" s="630"/>
    </row>
    <row s="1854" customFormat="1" customHeight="1" ht="15">
      <c r="A117" s="627"/>
      <c r="B117" s="628"/>
      <c r="C117" s="628"/>
      <c r="D117" s="2583"/>
      <c r="E117" s="2381" t="s">
        <v>583</v>
      </c>
      <c r="F117" s="2382"/>
      <c r="G117" s="2383"/>
      <c r="H117" s="2387" t="str">
        <f>IF(A115="","",INDEX(DIFFERENTIATION_UNMERGE_SYSTEM,MATCH(A115,DIFFERENTIATION_ID_DIFF,0)))</f>
        <v/>
      </c>
      <c r="I117" s="2387"/>
      <c r="J117" s="2387"/>
      <c r="K117" s="2387"/>
      <c r="L117" s="2387"/>
      <c r="M117" s="2387"/>
      <c r="N117" s="2387"/>
      <c r="O117" s="2387"/>
      <c r="P117" s="2387"/>
      <c r="Q117" s="2387"/>
      <c r="R117" s="2387"/>
      <c r="S117" s="723"/>
      <c r="T117" s="720"/>
      <c r="U117" s="629"/>
      <c r="V117" s="629"/>
      <c r="W117" s="630"/>
      <c r="X117" s="630"/>
      <c r="Y117" s="630"/>
      <c r="Z117" s="630"/>
      <c r="AA117" s="631"/>
      <c r="AB117" s="632"/>
      <c r="AC117" s="2379"/>
      <c r="AD117" s="633"/>
      <c r="AE117" s="634"/>
      <c r="AF117" s="634"/>
      <c r="AG117" s="635"/>
      <c r="AH117" s="636"/>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30"/>
      <c r="BW117" s="630"/>
      <c r="BX117" s="630"/>
      <c r="BY117" s="630"/>
      <c r="BZ117" s="630"/>
      <c r="CA117" s="630"/>
      <c r="CB117" s="630"/>
      <c r="CC117" s="630"/>
      <c r="CD117" s="630"/>
      <c r="CE117" s="630"/>
    </row>
    <row s="1854" customFormat="1" customHeight="1" ht="24.75">
      <c r="A118" s="1810"/>
      <c r="B118" s="1164"/>
      <c r="C118" s="416"/>
      <c r="D118" s="2583"/>
      <c r="E118" s="2380" t="s">
        <v>864</v>
      </c>
      <c r="F118" s="2380"/>
      <c r="G118" s="2380"/>
      <c r="H118" s="2380"/>
      <c r="I118" s="2380"/>
      <c r="J118" s="2380"/>
      <c r="K118" s="2380"/>
      <c r="L118" s="2380"/>
      <c r="M118" s="2380"/>
      <c r="N118" s="2380"/>
      <c r="O118" s="2380"/>
      <c r="P118" s="2380"/>
      <c r="Q118" s="562">
        <f>SUMIF(T119:T120,"i",Q119:Q120)</f>
        <v>0</v>
      </c>
      <c r="R118" s="1021"/>
      <c r="S118" s="1802" t="s">
        <v>865</v>
      </c>
      <c r="T118" s="721" t="s">
        <v>866</v>
      </c>
      <c r="U118" s="2378">
        <v>1</v>
      </c>
      <c r="V118" s="2378" t="s">
        <v>595</v>
      </c>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row>
    <row s="1854" customFormat="1" customHeight="1" ht="11.25" hidden="1">
      <c r="A119" s="1797"/>
      <c r="B119" s="1640"/>
      <c r="C119" s="1640"/>
      <c r="D119" s="2583"/>
      <c r="E119" s="639"/>
      <c r="F119" s="639">
        <v>0</v>
      </c>
      <c r="G119" s="639"/>
      <c r="H119" s="639"/>
      <c r="I119" s="639"/>
      <c r="J119" s="639"/>
      <c r="K119" s="639"/>
      <c r="L119" s="639"/>
      <c r="M119" s="639"/>
      <c r="N119" s="639"/>
      <c r="O119" s="639"/>
      <c r="P119" s="639"/>
      <c r="Q119" s="639"/>
      <c r="R119" s="639"/>
      <c r="S119" s="640"/>
      <c r="T119" s="722"/>
      <c r="U119" s="2378"/>
      <c r="V119" s="2378"/>
      <c r="W119" s="1640"/>
      <c r="X119" s="1640"/>
      <c r="Y119" s="1640"/>
      <c r="Z119" s="1640"/>
      <c r="AA119" s="1640"/>
      <c r="AB119" s="1164"/>
      <c r="AC119" s="2379"/>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row>
    <row s="1854" customFormat="1" customHeight="1" ht="11.25">
      <c r="A120" s="1810"/>
      <c r="B120" s="1164"/>
      <c r="C120" s="416"/>
      <c r="D120" s="2583"/>
      <c r="E120" s="653" t="s">
        <v>22</v>
      </c>
      <c r="F120" s="1172" t="s">
        <v>22</v>
      </c>
      <c r="G120" s="1172" t="s">
        <v>870</v>
      </c>
      <c r="H120" s="655" t="s">
        <v>22</v>
      </c>
      <c r="I120" s="655"/>
      <c r="J120" s="655"/>
      <c r="K120" s="655"/>
      <c r="L120" s="655"/>
      <c r="M120" s="655"/>
      <c r="N120" s="655"/>
      <c r="O120" s="655"/>
      <c r="P120" s="655"/>
      <c r="Q120" s="655"/>
      <c r="R120" s="656"/>
      <c r="S120" s="657"/>
      <c r="T120" s="722"/>
      <c r="U120" s="2378"/>
      <c r="V120" s="2378"/>
      <c r="W120" s="1164"/>
      <c r="X120" s="1164"/>
      <c r="Y120" s="1164"/>
      <c r="Z120" s="1164"/>
      <c r="AA120" s="1640"/>
      <c r="AB120" s="1164"/>
      <c r="AC120" s="2379"/>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164"/>
      <c r="BW120" s="1164"/>
      <c r="BX120" s="1164"/>
      <c r="BY120" s="1164"/>
      <c r="BZ120" s="1164"/>
      <c r="CA120" s="1164"/>
      <c r="CB120" s="1164"/>
      <c r="CC120" s="1164"/>
      <c r="CD120" s="1164"/>
      <c r="CE120" s="1164"/>
    </row>
    <row s="1854" customFormat="1" customHeight="1" ht="24.75">
      <c r="A121" s="1810"/>
      <c r="B121" s="1164"/>
      <c r="C121" s="416"/>
      <c r="D121" s="2583"/>
      <c r="E121" s="2380" t="s">
        <v>867</v>
      </c>
      <c r="F121" s="2380"/>
      <c r="G121" s="2380"/>
      <c r="H121" s="2380"/>
      <c r="I121" s="2380"/>
      <c r="J121" s="2380"/>
      <c r="K121" s="2380"/>
      <c r="L121" s="2380"/>
      <c r="M121" s="2380"/>
      <c r="N121" s="2380"/>
      <c r="O121" s="2380"/>
      <c r="P121" s="2380"/>
      <c r="Q121" s="562">
        <f>SUMIF(T122:T123,"i",Q122:Q123)</f>
        <v>0</v>
      </c>
      <c r="R121" s="1021"/>
      <c r="S121" s="1802" t="s">
        <v>868</v>
      </c>
      <c r="T121" s="721" t="s">
        <v>866</v>
      </c>
      <c r="U121" s="2378">
        <v>1</v>
      </c>
      <c r="V121" s="2378" t="s">
        <v>595</v>
      </c>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row>
    <row s="1854" customFormat="1" customHeight="1" ht="11.25" hidden="1">
      <c r="A122" s="1797"/>
      <c r="B122" s="1640"/>
      <c r="C122" s="1640"/>
      <c r="D122" s="2583"/>
      <c r="E122" s="639"/>
      <c r="F122" s="639">
        <v>0</v>
      </c>
      <c r="G122" s="639"/>
      <c r="H122" s="639"/>
      <c r="I122" s="639"/>
      <c r="J122" s="639"/>
      <c r="K122" s="639"/>
      <c r="L122" s="639"/>
      <c r="M122" s="639"/>
      <c r="N122" s="639"/>
      <c r="O122" s="639"/>
      <c r="P122" s="639"/>
      <c r="Q122" s="639"/>
      <c r="R122" s="639"/>
      <c r="S122" s="640"/>
      <c r="T122" s="722"/>
      <c r="U122" s="2378"/>
      <c r="V122" s="2378"/>
      <c r="W122" s="1640"/>
      <c r="X122" s="1640"/>
      <c r="Y122" s="1640"/>
      <c r="Z122" s="1640"/>
      <c r="AA122" s="1640"/>
      <c r="AB122" s="1164"/>
      <c r="AC122" s="1800"/>
      <c r="AD122" s="633"/>
      <c r="AE122" s="1164"/>
      <c r="AF122" s="1164"/>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row>
    <row s="1854" customFormat="1" customHeight="1" ht="11.25">
      <c r="A123" s="1810"/>
      <c r="B123" s="1164"/>
      <c r="C123" s="416"/>
      <c r="D123" s="2584"/>
      <c r="E123" s="653" t="s">
        <v>22</v>
      </c>
      <c r="F123" s="1172" t="s">
        <v>22</v>
      </c>
      <c r="G123" s="1172" t="s">
        <v>870</v>
      </c>
      <c r="H123" s="655" t="s">
        <v>22</v>
      </c>
      <c r="I123" s="655"/>
      <c r="J123" s="655"/>
      <c r="K123" s="655"/>
      <c r="L123" s="655"/>
      <c r="M123" s="655"/>
      <c r="N123" s="655"/>
      <c r="O123" s="655"/>
      <c r="P123" s="655"/>
      <c r="Q123" s="655"/>
      <c r="R123" s="656"/>
      <c r="S123" s="657"/>
      <c r="T123" s="722"/>
      <c r="U123" s="2378"/>
      <c r="V123" s="2378"/>
      <c r="W123" s="1164"/>
      <c r="X123" s="1164"/>
      <c r="Y123" s="1164"/>
      <c r="Z123" s="1164"/>
      <c r="AA123" s="1640"/>
      <c r="AB123" s="1164"/>
      <c r="AC123" s="1800"/>
      <c r="AD123" s="633"/>
      <c r="AE123" s="1164"/>
      <c r="AF123" s="1164"/>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164"/>
      <c r="BW123" s="1164"/>
      <c r="BX123" s="1164"/>
      <c r="BY123" s="1164"/>
      <c r="BZ123" s="1164"/>
      <c r="CA123" s="1164"/>
      <c r="CB123" s="1164"/>
      <c r="CC123" s="1164"/>
      <c r="CD123" s="1164"/>
      <c r="CE123" s="1164"/>
    </row>
    <row r="125" s="1819" customFormat="1" customHeight="1" ht="11.25">
      <c r="A125" s="1819" t="s">
        <v>2228</v>
      </c>
    </row>
    <row r="127" s="1854" customFormat="1" customHeight="1" ht="15" hidden="1">
      <c r="A127" s="627"/>
      <c r="B127" s="628"/>
      <c r="C127" s="628"/>
      <c r="D127" s="2582" t="s">
        <v>119</v>
      </c>
      <c r="E127" s="2381" t="s">
        <v>115</v>
      </c>
      <c r="F127" s="2382"/>
      <c r="G127" s="2383"/>
      <c r="H127" s="2387" t="str">
        <f>IF(A127="","",INDEX(DIFFERENTIATION_UNMERGE_VD,MATCH(A127,DIFFERENTIATION_ID_DIFF,0)))</f>
        <v/>
      </c>
      <c r="I127" s="2387"/>
      <c r="J127" s="2387"/>
      <c r="K127" s="2387"/>
      <c r="L127" s="2387"/>
      <c r="M127" s="2387"/>
      <c r="N127" s="2387"/>
      <c r="O127" s="2387"/>
      <c r="P127" s="2387"/>
      <c r="Q127" s="2387"/>
      <c r="R127" s="2387"/>
      <c r="S127" s="723"/>
      <c r="T127" s="720"/>
      <c r="U127" s="629"/>
      <c r="V127" s="629"/>
      <c r="W127" s="630"/>
      <c r="X127" s="630"/>
      <c r="Y127" s="630"/>
      <c r="Z127" s="630"/>
      <c r="AA127" s="631"/>
      <c r="AB127" s="632"/>
      <c r="AC127" s="2379"/>
      <c r="AD127" s="633"/>
      <c r="AE127" s="634" t="s">
        <v>22</v>
      </c>
      <c r="AF127" s="634"/>
      <c r="AG127" s="635" t="s">
        <v>863</v>
      </c>
      <c r="AH127" s="636">
        <v>3</v>
      </c>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30"/>
      <c r="BW127" s="630"/>
      <c r="BX127" s="630"/>
      <c r="BY127" s="630"/>
      <c r="BZ127" s="630"/>
      <c r="CA127" s="630"/>
      <c r="CB127" s="630"/>
      <c r="CC127" s="630"/>
      <c r="CD127" s="630"/>
      <c r="CE127" s="630"/>
    </row>
    <row s="1854" customFormat="1" customHeight="1" ht="15" hidden="1">
      <c r="A128" s="627"/>
      <c r="B128" s="628"/>
      <c r="C128" s="628"/>
      <c r="D128" s="2583"/>
      <c r="E128" s="2381" t="s">
        <v>582</v>
      </c>
      <c r="F128" s="2382"/>
      <c r="G128" s="2383"/>
      <c r="H128" s="2387" t="str">
        <f>IF(A127="","",INDEX(DIFFERENTIATION_UNMERGE_AREA,MATCH(A127,DIFFERENTIATION_ID_DIFF,0)))</f>
        <v/>
      </c>
      <c r="I128" s="2387"/>
      <c r="J128" s="2387"/>
      <c r="K128" s="2387"/>
      <c r="L128" s="2387"/>
      <c r="M128" s="2387"/>
      <c r="N128" s="2387"/>
      <c r="O128" s="2387"/>
      <c r="P128" s="2387"/>
      <c r="Q128" s="2387"/>
      <c r="R128" s="2387"/>
      <c r="S128" s="723"/>
      <c r="T128" s="720"/>
      <c r="U128" s="629"/>
      <c r="V128" s="629"/>
      <c r="W128" s="630"/>
      <c r="X128" s="630"/>
      <c r="Y128" s="630"/>
      <c r="Z128" s="630"/>
      <c r="AA128" s="631"/>
      <c r="AB128" s="632"/>
      <c r="AC128" s="2379"/>
      <c r="AD128" s="633"/>
      <c r="AE128" s="634"/>
      <c r="AF128" s="634"/>
      <c r="AG128" s="635"/>
      <c r="AH128" s="636"/>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30"/>
      <c r="BW128" s="630"/>
      <c r="BX128" s="630"/>
      <c r="BY128" s="630"/>
      <c r="BZ128" s="630"/>
      <c r="CA128" s="630"/>
      <c r="CB128" s="630"/>
      <c r="CC128" s="630"/>
      <c r="CD128" s="630"/>
      <c r="CE128" s="630"/>
    </row>
    <row s="1854" customFormat="1" customHeight="1" ht="15" hidden="1">
      <c r="A129" s="627"/>
      <c r="B129" s="628"/>
      <c r="C129" s="628"/>
      <c r="D129" s="2583"/>
      <c r="E129" s="2381" t="s">
        <v>583</v>
      </c>
      <c r="F129" s="2382"/>
      <c r="G129" s="2383"/>
      <c r="H129" s="2387" t="str">
        <f>IF(A127="","",INDEX(DIFFERENTIATION_UNMERGE_SYSTEM,MATCH(A127,DIFFERENTIATION_ID_DIFF,0)))</f>
        <v/>
      </c>
      <c r="I129" s="2387"/>
      <c r="J129" s="2387"/>
      <c r="K129" s="2387"/>
      <c r="L129" s="2387"/>
      <c r="M129" s="2387"/>
      <c r="N129" s="2387"/>
      <c r="O129" s="2387"/>
      <c r="P129" s="2387"/>
      <c r="Q129" s="2387"/>
      <c r="R129" s="2387"/>
      <c r="S129" s="723"/>
      <c r="T129" s="720"/>
      <c r="U129" s="629"/>
      <c r="V129" s="629"/>
      <c r="W129" s="630"/>
      <c r="X129" s="630"/>
      <c r="Y129" s="630"/>
      <c r="Z129" s="630"/>
      <c r="AA129" s="631"/>
      <c r="AB129" s="632"/>
      <c r="AC129" s="2379"/>
      <c r="AD129" s="633"/>
      <c r="AE129" s="634"/>
      <c r="AF129" s="634"/>
      <c r="AG129" s="635"/>
      <c r="AH129" s="636"/>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29"/>
      <c r="BV129" s="630"/>
      <c r="BW129" s="630"/>
      <c r="BX129" s="630"/>
      <c r="BY129" s="630"/>
      <c r="BZ129" s="630"/>
      <c r="CA129" s="630"/>
      <c r="CB129" s="630"/>
      <c r="CC129" s="630"/>
      <c r="CD129" s="630"/>
      <c r="CE129" s="630"/>
    </row>
    <row s="1854" customFormat="1" customHeight="1" ht="24.75" hidden="1">
      <c r="A130" s="1810"/>
      <c r="B130" s="1164"/>
      <c r="C130" s="416"/>
      <c r="D130" s="2583"/>
      <c r="E130" s="2380" t="s">
        <v>864</v>
      </c>
      <c r="F130" s="2380"/>
      <c r="G130" s="2380"/>
      <c r="H130" s="2380"/>
      <c r="I130" s="2380"/>
      <c r="J130" s="2380"/>
      <c r="K130" s="2380"/>
      <c r="L130" s="2380"/>
      <c r="M130" s="2380"/>
      <c r="N130" s="2380"/>
      <c r="O130" s="2380"/>
      <c r="P130" s="2380"/>
      <c r="Q130" s="562">
        <f>SUMIF(T131:T132,"i",Q131:Q132)</f>
        <v>0</v>
      </c>
      <c r="R130" s="1021"/>
      <c r="S130" s="1802" t="s">
        <v>865</v>
      </c>
      <c r="T130" s="721" t="s">
        <v>866</v>
      </c>
      <c r="U130" s="2378">
        <v>1</v>
      </c>
      <c r="V130" s="2378" t="s">
        <v>595</v>
      </c>
      <c r="W130" s="1164"/>
      <c r="X130" s="1164"/>
      <c r="Y130" s="1164"/>
      <c r="Z130" s="1164"/>
      <c r="AA130" s="1640"/>
      <c r="AB130" s="1164"/>
      <c r="AC130" s="2379"/>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row>
    <row s="1854" customFormat="1" customHeight="1" ht="11.25" hidden="1">
      <c r="A131" s="1797"/>
      <c r="B131" s="1640"/>
      <c r="C131" s="1640"/>
      <c r="D131" s="2583"/>
      <c r="E131" s="639"/>
      <c r="F131" s="639">
        <v>0</v>
      </c>
      <c r="G131" s="639"/>
      <c r="H131" s="639"/>
      <c r="I131" s="639"/>
      <c r="J131" s="639"/>
      <c r="K131" s="639"/>
      <c r="L131" s="639"/>
      <c r="M131" s="639"/>
      <c r="N131" s="639"/>
      <c r="O131" s="639"/>
      <c r="P131" s="639"/>
      <c r="Q131" s="639"/>
      <c r="R131" s="639"/>
      <c r="S131" s="640"/>
      <c r="T131" s="722"/>
      <c r="U131" s="2378"/>
      <c r="V131" s="2378"/>
      <c r="W131" s="1640"/>
      <c r="X131" s="1640"/>
      <c r="Y131" s="1640"/>
      <c r="Z131" s="1640"/>
      <c r="AA131" s="1640"/>
      <c r="AB131" s="1164"/>
      <c r="AC131" s="2379"/>
      <c r="AD131" s="633"/>
      <c r="AE131" s="1164"/>
      <c r="AF131" s="1164"/>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row>
    <row s="1854" customFormat="1" customHeight="1" ht="11.25" hidden="1">
      <c r="A132" s="1810"/>
      <c r="B132" s="1164"/>
      <c r="C132" s="416"/>
      <c r="D132" s="2583"/>
      <c r="E132" s="653" t="s">
        <v>22</v>
      </c>
      <c r="F132" s="1172" t="s">
        <v>22</v>
      </c>
      <c r="G132" s="1172" t="s">
        <v>870</v>
      </c>
      <c r="H132" s="655" t="s">
        <v>22</v>
      </c>
      <c r="I132" s="655"/>
      <c r="J132" s="655"/>
      <c r="K132" s="655"/>
      <c r="L132" s="655"/>
      <c r="M132" s="655"/>
      <c r="N132" s="655"/>
      <c r="O132" s="655"/>
      <c r="P132" s="655"/>
      <c r="Q132" s="655"/>
      <c r="R132" s="656"/>
      <c r="S132" s="657"/>
      <c r="T132" s="722"/>
      <c r="U132" s="2378"/>
      <c r="V132" s="2378"/>
      <c r="W132" s="1164"/>
      <c r="X132" s="1164"/>
      <c r="Y132" s="1164"/>
      <c r="Z132" s="1164"/>
      <c r="AA132" s="1640"/>
      <c r="AB132" s="1164"/>
      <c r="AC132" s="2379"/>
      <c r="AD132" s="633"/>
      <c r="AE132" s="1164"/>
      <c r="AF132" s="1164"/>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164"/>
      <c r="BW132" s="1164"/>
      <c r="BX132" s="1164"/>
      <c r="BY132" s="1164"/>
      <c r="BZ132" s="1164"/>
      <c r="CA132" s="1164"/>
      <c r="CB132" s="1164"/>
      <c r="CC132" s="1164"/>
      <c r="CD132" s="1164"/>
      <c r="CE132" s="1164"/>
    </row>
    <row s="1320" customFormat="1" customHeight="1" ht="5.25" hidden="1">
      <c r="A133" s="1797"/>
      <c r="B133" s="1640"/>
      <c r="C133" s="1640"/>
      <c r="D133" s="2583"/>
      <c r="E133" s="1043"/>
      <c r="F133" s="1043"/>
      <c r="G133" s="1043"/>
      <c r="H133" s="1043"/>
      <c r="I133" s="1043"/>
      <c r="J133" s="1043"/>
      <c r="K133" s="1043"/>
      <c r="L133" s="1043"/>
      <c r="M133" s="1043"/>
      <c r="N133" s="1043"/>
      <c r="O133" s="1043"/>
      <c r="P133" s="1043"/>
      <c r="Q133" s="1044"/>
      <c r="R133" s="1045"/>
      <c r="S133" s="1046"/>
      <c r="T133" s="721" t="s">
        <v>866</v>
      </c>
      <c r="U133" s="2378">
        <v>1</v>
      </c>
      <c r="V133" s="2378" t="s">
        <v>595</v>
      </c>
      <c r="W133" s="1640"/>
      <c r="X133" s="1640"/>
      <c r="Y133" s="1640"/>
      <c r="Z133" s="1640"/>
      <c r="AA133" s="1640"/>
      <c r="AB133" s="1640"/>
      <c r="AC133" s="1041"/>
      <c r="AD133" s="1042"/>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row>
    <row s="1320" customFormat="1" customHeight="1" ht="5.25" hidden="1">
      <c r="A134" s="1797"/>
      <c r="B134" s="1640"/>
      <c r="C134" s="1640"/>
      <c r="D134" s="2583"/>
      <c r="E134" s="639"/>
      <c r="F134" s="639"/>
      <c r="G134" s="639"/>
      <c r="H134" s="639"/>
      <c r="I134" s="639"/>
      <c r="J134" s="639"/>
      <c r="K134" s="639"/>
      <c r="L134" s="639"/>
      <c r="M134" s="639"/>
      <c r="N134" s="639"/>
      <c r="O134" s="639"/>
      <c r="P134" s="639"/>
      <c r="Q134" s="639"/>
      <c r="R134" s="639"/>
      <c r="S134" s="640"/>
      <c r="T134" s="722"/>
      <c r="U134" s="2378"/>
      <c r="V134" s="2378"/>
      <c r="W134" s="1640"/>
      <c r="X134" s="1640"/>
      <c r="Y134" s="1640"/>
      <c r="Z134" s="1640"/>
      <c r="AA134" s="1640"/>
      <c r="AB134" s="1640"/>
      <c r="AC134" s="1041"/>
      <c r="AD134" s="1042"/>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row>
    <row s="1320" customFormat="1" customHeight="1" ht="5.25" hidden="1">
      <c r="A135" s="1797"/>
      <c r="B135" s="1640"/>
      <c r="C135" s="1640"/>
      <c r="D135" s="2584"/>
      <c r="E135" s="1047"/>
      <c r="F135" s="1048"/>
      <c r="G135" s="1048"/>
      <c r="H135" s="1049"/>
      <c r="I135" s="1049"/>
      <c r="J135" s="1049"/>
      <c r="K135" s="1049"/>
      <c r="L135" s="1049"/>
      <c r="M135" s="1049"/>
      <c r="N135" s="1049"/>
      <c r="O135" s="1049"/>
      <c r="P135" s="1049"/>
      <c r="Q135" s="1049"/>
      <c r="R135" s="950"/>
      <c r="S135" s="1050"/>
      <c r="T135" s="722"/>
      <c r="U135" s="2378"/>
      <c r="V135" s="2378"/>
      <c r="W135" s="1640"/>
      <c r="X135" s="1640"/>
      <c r="Y135" s="1640"/>
      <c r="Z135" s="1640"/>
      <c r="AA135" s="1640"/>
      <c r="AB135" s="1640"/>
      <c r="AC135" s="1041"/>
      <c r="AD135" s="1042"/>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row>
    <row customHeight="1" ht="17.25">
      <c r="D136" s="1840"/>
    </row>
    <row s="1819" customFormat="1" customHeight="1" ht="11.25">
      <c r="A137" s="1819" t="s">
        <v>2229</v>
      </c>
    </row>
    <row r="139" s="1854" customFormat="1" customHeight="1" ht="45">
      <c r="A139" s="1810"/>
      <c r="B139" s="1164"/>
      <c r="C139" s="416"/>
      <c r="D139" s="93"/>
      <c r="E139" s="2576"/>
      <c r="F139" s="2112" t="s">
        <v>119</v>
      </c>
      <c r="G139" s="2579" t="s">
        <v>22</v>
      </c>
      <c r="H139" s="293"/>
      <c r="I139" s="641" t="s">
        <v>119</v>
      </c>
      <c r="J139" s="1811" t="s">
        <v>2230</v>
      </c>
      <c r="K139" s="642" t="s">
        <v>564</v>
      </c>
      <c r="L139" s="2228" t="s">
        <v>564</v>
      </c>
      <c r="M139" s="2581"/>
      <c r="N139" s="642" t="s">
        <v>564</v>
      </c>
      <c r="O139" s="642" t="s">
        <v>564</v>
      </c>
      <c r="P139" s="642" t="s">
        <v>564</v>
      </c>
      <c r="Q139" s="643">
        <f>SUM(Q140:Q142)</f>
        <v>0</v>
      </c>
      <c r="R139" s="643">
        <f>IF(R136=0,0,(Q136/R136)*100)</f>
        <v>0</v>
      </c>
      <c r="S139" s="2183"/>
      <c r="T139" s="721" t="s">
        <v>866</v>
      </c>
      <c r="U139" s="93"/>
      <c r="V139" s="93"/>
      <c r="AC139" s="93"/>
    </row>
    <row s="1854" customFormat="1" customHeight="1" ht="11.25">
      <c r="A140" s="1810"/>
      <c r="B140" s="1164"/>
      <c r="C140" s="416"/>
      <c r="D140" s="93"/>
      <c r="E140" s="2577"/>
      <c r="F140" s="2112"/>
      <c r="G140" s="2579"/>
      <c r="H140" s="2131"/>
      <c r="I140" s="2519" t="s">
        <v>1335</v>
      </c>
      <c r="J140" s="2573"/>
      <c r="K140" s="2574"/>
      <c r="L140" s="644"/>
      <c r="M140" s="645" t="s">
        <v>119</v>
      </c>
      <c r="N140" s="1799"/>
      <c r="O140" s="646"/>
      <c r="P140" s="647"/>
      <c r="Q140" s="646"/>
      <c r="R140" s="648">
        <v>0</v>
      </c>
      <c r="S140" s="2183"/>
      <c r="T140" s="721"/>
      <c r="U140" s="93"/>
      <c r="V140" s="93"/>
      <c r="AC140" s="93"/>
    </row>
    <row s="1854" customFormat="1" customHeight="1" ht="11.25">
      <c r="A141" s="1810"/>
      <c r="B141" s="1164"/>
      <c r="C141" s="416"/>
      <c r="D141" s="93"/>
      <c r="E141" s="2577"/>
      <c r="F141" s="2112"/>
      <c r="G141" s="2579"/>
      <c r="H141" s="2131"/>
      <c r="I141" s="2519"/>
      <c r="J141" s="2573"/>
      <c r="K141" s="2575"/>
      <c r="L141" s="649"/>
      <c r="M141" s="650"/>
      <c r="N141" s="651" t="s">
        <v>2231</v>
      </c>
      <c r="O141" s="651"/>
      <c r="P141" s="651"/>
      <c r="Q141" s="651"/>
      <c r="R141" s="652"/>
      <c r="S141" s="2183"/>
      <c r="T141" s="721"/>
      <c r="U141" s="93"/>
      <c r="V141" s="93"/>
      <c r="AC141" s="93"/>
    </row>
    <row s="1854" customFormat="1" customHeight="1" ht="11.25">
      <c r="A142" s="1810"/>
      <c r="B142" s="1164"/>
      <c r="C142" s="416"/>
      <c r="D142" s="93"/>
      <c r="E142" s="2578"/>
      <c r="F142" s="2112"/>
      <c r="G142" s="2580"/>
      <c r="H142" s="649" t="s">
        <v>22</v>
      </c>
      <c r="I142" s="650"/>
      <c r="J142" s="651" t="s">
        <v>2232</v>
      </c>
      <c r="K142" s="651"/>
      <c r="L142" s="651"/>
      <c r="M142" s="651"/>
      <c r="N142" s="651"/>
      <c r="O142" s="651"/>
      <c r="P142" s="651"/>
      <c r="Q142" s="651"/>
      <c r="R142" s="652"/>
      <c r="S142" s="2183"/>
      <c r="T142" s="721"/>
      <c r="U142" s="93"/>
      <c r="V142" s="93"/>
      <c r="AC142" s="93"/>
    </row>
    <row r="147" s="1854" customFormat="1" customHeight="1" ht="11.25">
      <c r="A147" s="1810"/>
      <c r="B147" s="1164"/>
      <c r="C147" s="416"/>
      <c r="D147" s="93"/>
      <c r="E147" s="1834"/>
      <c r="F147" s="1834"/>
      <c r="G147" s="1834"/>
      <c r="H147" s="2131"/>
      <c r="I147" s="2519" t="s">
        <v>1335</v>
      </c>
      <c r="J147" s="2573"/>
      <c r="K147" s="2574"/>
      <c r="L147" s="644"/>
      <c r="M147" s="645" t="s">
        <v>119</v>
      </c>
      <c r="N147" s="1799"/>
      <c r="O147" s="646"/>
      <c r="P147" s="647"/>
      <c r="Q147" s="646"/>
      <c r="R147" s="648">
        <v>0</v>
      </c>
      <c r="S147" s="93"/>
      <c r="T147" s="721"/>
      <c r="U147" s="93"/>
      <c r="V147" s="93"/>
      <c r="AC147" s="93"/>
    </row>
    <row s="1854" customFormat="1" customHeight="1" ht="11.25">
      <c r="A148" s="1810"/>
      <c r="B148" s="1164"/>
      <c r="C148" s="416"/>
      <c r="D148" s="93"/>
      <c r="E148" s="1834"/>
      <c r="F148" s="1834"/>
      <c r="G148" s="1834"/>
      <c r="H148" s="2131"/>
      <c r="I148" s="2519"/>
      <c r="J148" s="2573"/>
      <c r="K148" s="2575"/>
      <c r="L148" s="649"/>
      <c r="M148" s="650"/>
      <c r="N148" s="651" t="s">
        <v>2231</v>
      </c>
      <c r="O148" s="651"/>
      <c r="P148" s="651"/>
      <c r="Q148" s="651"/>
      <c r="R148" s="652"/>
      <c r="S148" s="93"/>
      <c r="T148" s="721"/>
      <c r="U148" s="93"/>
      <c r="V148" s="93"/>
      <c r="AC148" s="93"/>
    </row>
    <row r="150" s="1854" customFormat="1" customHeight="1" ht="11.25">
      <c r="A150" s="1810"/>
      <c r="B150" s="1164"/>
      <c r="C150" s="416"/>
      <c r="D150" s="93"/>
      <c r="E150" s="1841"/>
      <c r="F150" s="1839"/>
      <c r="G150" s="1839"/>
      <c r="H150" s="1842"/>
      <c r="I150" s="1834"/>
      <c r="J150" s="1835"/>
      <c r="K150" s="1835"/>
      <c r="L150" s="644"/>
      <c r="M150" s="645" t="s">
        <v>119</v>
      </c>
      <c r="N150" s="1799"/>
      <c r="O150" s="646"/>
      <c r="P150" s="647"/>
      <c r="Q150" s="646"/>
      <c r="R150" s="648">
        <v>0</v>
      </c>
      <c r="S150" s="93"/>
      <c r="T150" s="721"/>
      <c r="U150" s="93"/>
      <c r="V150" s="93"/>
      <c r="AC150" s="93"/>
    </row>
    <row r="152" s="1819" customFormat="1" customHeight="1" ht="17.25">
      <c r="A152" s="1819" t="s">
        <v>2233</v>
      </c>
    </row>
    <row customHeight="1" ht="17.25">
      <c r="G153" s="1843"/>
      <c r="H153" s="1843"/>
      <c r="I153" s="1843"/>
      <c r="M153" s="1839"/>
    </row>
    <row s="1857" customFormat="1" customHeight="1" ht="17.25">
      <c r="A154" s="1844"/>
      <c r="C154" s="1846"/>
      <c r="D154" s="2533"/>
      <c r="E154" s="2147"/>
      <c r="F154" s="2149"/>
      <c r="G154" s="2535"/>
      <c r="H154" s="2533"/>
      <c r="I154" s="2533">
        <v>1</v>
      </c>
      <c r="J154" s="2505"/>
      <c r="K154" s="2189" t="s">
        <v>62</v>
      </c>
      <c r="L154" s="2112"/>
      <c r="M154" s="2112" t="s">
        <v>119</v>
      </c>
      <c r="N154" s="2508" t="str">
        <f>IF(Z154="","",INDEX(TERRITORY_MR_LIST,MATCH(Z154,TERRITORY_LIST_ID,0)))</f>
        <v/>
      </c>
      <c r="O154" s="2189" t="s">
        <v>62</v>
      </c>
      <c r="P154" s="2112"/>
      <c r="Q154" s="2112" t="s">
        <v>119</v>
      </c>
      <c r="R154" s="2506" t="s">
        <v>22</v>
      </c>
      <c r="S154" s="2111" t="s">
        <v>62</v>
      </c>
      <c r="T154" s="1815"/>
      <c r="U154" s="1815" t="s">
        <v>119</v>
      </c>
      <c r="V154" s="1847" t="s">
        <v>22</v>
      </c>
      <c r="W154" s="1805"/>
      <c r="Y154" s="1271"/>
      <c r="Z154" s="1271"/>
      <c r="AA154" s="1271"/>
      <c r="AB154" s="1271"/>
      <c r="AC154" s="1271"/>
      <c r="AD154" s="1271"/>
      <c r="AE154" s="1271"/>
      <c r="AF154" s="1271"/>
      <c r="AG154" s="1271"/>
      <c r="AH154" s="1271"/>
      <c r="AI154" s="1271"/>
      <c r="AJ154" s="1271"/>
      <c r="AK154" s="1271"/>
      <c r="AL154" s="1848"/>
      <c r="AM154" s="1848"/>
      <c r="AN154" s="1271"/>
      <c r="AO154" s="1271"/>
      <c r="AP154" s="1271"/>
      <c r="AQ154" s="1271"/>
    </row>
    <row s="1857" customFormat="1" customHeight="1" ht="17.25">
      <c r="A155" s="1844"/>
      <c r="C155" s="1849"/>
      <c r="D155" s="2533"/>
      <c r="E155" s="2147"/>
      <c r="F155" s="2150"/>
      <c r="G155" s="2535"/>
      <c r="H155" s="2533"/>
      <c r="I155" s="2533"/>
      <c r="J155" s="2505"/>
      <c r="K155" s="2190"/>
      <c r="L155" s="2112"/>
      <c r="M155" s="2112"/>
      <c r="N155" s="2508"/>
      <c r="O155" s="2190"/>
      <c r="P155" s="2112"/>
      <c r="Q155" s="2112"/>
      <c r="R155" s="2506"/>
      <c r="S155" s="2111"/>
      <c r="T155" s="321"/>
      <c r="U155" s="322"/>
      <c r="V155" s="322" t="s">
        <v>432</v>
      </c>
      <c r="W155" s="323"/>
      <c r="Y155" s="1263"/>
      <c r="Z155" s="1263"/>
      <c r="AA155" s="1263"/>
      <c r="AB155" s="1263"/>
      <c r="AC155" s="1263"/>
      <c r="AD155" s="1263"/>
      <c r="AE155" s="1263"/>
      <c r="AF155" s="1263"/>
      <c r="AG155" s="1263"/>
      <c r="AH155" s="1263"/>
      <c r="AI155" s="1263"/>
      <c r="AJ155" s="1263"/>
      <c r="AK155" s="1263"/>
    </row>
    <row s="1857" customFormat="1" customHeight="1" ht="17.25">
      <c r="A156" s="1844"/>
      <c r="C156" s="1849"/>
      <c r="D156" s="2507"/>
      <c r="E156" s="2534"/>
      <c r="F156" s="2150"/>
      <c r="G156" s="2536"/>
      <c r="H156" s="2507"/>
      <c r="I156" s="2507"/>
      <c r="J156" s="2537"/>
      <c r="K156" s="2190"/>
      <c r="L156" s="2507"/>
      <c r="M156" s="2507"/>
      <c r="N156" s="2509"/>
      <c r="O156" s="2116"/>
      <c r="P156" s="321"/>
      <c r="Q156" s="322"/>
      <c r="R156" s="322" t="s">
        <v>433</v>
      </c>
      <c r="S156" s="1850"/>
      <c r="T156" s="1850"/>
      <c r="U156" s="1850"/>
      <c r="V156" s="1850"/>
      <c r="W156" s="323"/>
      <c r="Y156" s="1263"/>
      <c r="Z156" s="1263"/>
      <c r="AA156" s="1263"/>
      <c r="AB156" s="1263"/>
      <c r="AC156" s="1263"/>
      <c r="AD156" s="1263"/>
      <c r="AE156" s="1263"/>
      <c r="AF156" s="1263"/>
      <c r="AG156" s="1263"/>
      <c r="AH156" s="1263"/>
      <c r="AI156" s="1263"/>
      <c r="AJ156" s="1263"/>
      <c r="AK156" s="1263"/>
    </row>
    <row s="1857" customFormat="1" customHeight="1" ht="17.25">
      <c r="A157" s="1844"/>
      <c r="C157" s="1849"/>
      <c r="D157" s="2507"/>
      <c r="E157" s="2534"/>
      <c r="F157" s="2150"/>
      <c r="G157" s="2536"/>
      <c r="H157" s="2507"/>
      <c r="I157" s="2507"/>
      <c r="J157" s="2537"/>
      <c r="K157" s="2116"/>
      <c r="L157" s="321"/>
      <c r="M157" s="322"/>
      <c r="N157" s="322" t="s">
        <v>434</v>
      </c>
      <c r="O157" s="322"/>
      <c r="P157" s="322"/>
      <c r="Q157" s="322"/>
      <c r="R157" s="322"/>
      <c r="S157" s="1850"/>
      <c r="T157" s="1850"/>
      <c r="U157" s="1850"/>
      <c r="V157" s="1850"/>
      <c r="W157" s="323"/>
      <c r="Y157" s="1263"/>
      <c r="Z157" s="1263"/>
      <c r="AA157" s="1263"/>
      <c r="AB157" s="1263"/>
      <c r="AC157" s="1263"/>
      <c r="AD157" s="1263"/>
      <c r="AE157" s="1263"/>
      <c r="AF157" s="1263"/>
      <c r="AG157" s="1263"/>
      <c r="AH157" s="1263"/>
      <c r="AI157" s="1263"/>
      <c r="AJ157" s="1263"/>
      <c r="AK157" s="1263"/>
    </row>
    <row s="1857" customFormat="1" customHeight="1" ht="17.25">
      <c r="A158" s="1844"/>
      <c r="C158" s="1849"/>
      <c r="D158" s="2507"/>
      <c r="E158" s="2534"/>
      <c r="F158" s="2151"/>
      <c r="G158" s="2536"/>
      <c r="H158" s="321"/>
      <c r="I158" s="322"/>
      <c r="J158" s="322" t="s">
        <v>466</v>
      </c>
      <c r="K158" s="322"/>
      <c r="L158" s="322"/>
      <c r="M158" s="322"/>
      <c r="N158" s="322"/>
      <c r="O158" s="322"/>
      <c r="P158" s="322"/>
      <c r="Q158" s="322"/>
      <c r="R158" s="322"/>
      <c r="S158" s="1850"/>
      <c r="T158" s="1850"/>
      <c r="U158" s="1850"/>
      <c r="V158" s="1850"/>
      <c r="W158" s="323"/>
      <c r="Y158" s="1263"/>
      <c r="Z158" s="1263"/>
      <c r="AA158" s="1263"/>
      <c r="AB158" s="1263"/>
      <c r="AC158" s="1263"/>
      <c r="AD158" s="1263"/>
      <c r="AE158" s="1263"/>
      <c r="AF158" s="1263"/>
      <c r="AG158" s="1263"/>
      <c r="AH158" s="1263"/>
      <c r="AI158" s="1263"/>
      <c r="AJ158" s="1263"/>
      <c r="AK158" s="1263"/>
    </row>
    <row customHeight="1" ht="17.25">
      <c r="G159" s="1843"/>
      <c r="H159" s="1843"/>
      <c r="I159" s="1843"/>
      <c r="M159" s="1839"/>
    </row>
    <row s="1857" customFormat="1" customHeight="1" ht="17.25">
      <c r="A160" s="1844"/>
      <c r="C160" s="1846"/>
      <c r="D160" s="1834"/>
      <c r="E160" s="1851"/>
      <c r="F160" s="1788"/>
      <c r="G160" s="1852"/>
      <c r="H160" s="2533"/>
      <c r="I160" s="2533">
        <v>1</v>
      </c>
      <c r="J160" s="2505"/>
      <c r="K160" s="2189" t="s">
        <v>62</v>
      </c>
      <c r="L160" s="2112"/>
      <c r="M160" s="2112" t="s">
        <v>119</v>
      </c>
      <c r="N160" s="2508" t="str">
        <f>IF(Z160="","",INDEX(TERRITORY_MR_LIST,MATCH(Z160,TERRITORY_LIST_ID,0)))</f>
        <v/>
      </c>
      <c r="O160" s="2189" t="s">
        <v>62</v>
      </c>
      <c r="P160" s="2112"/>
      <c r="Q160" s="2112" t="s">
        <v>119</v>
      </c>
      <c r="R160" s="2506" t="s">
        <v>22</v>
      </c>
      <c r="S160" s="2111" t="s">
        <v>62</v>
      </c>
      <c r="T160" s="1815"/>
      <c r="U160" s="1815" t="s">
        <v>119</v>
      </c>
      <c r="V160" s="1847" t="s">
        <v>22</v>
      </c>
      <c r="W160" s="1805"/>
      <c r="Y160" s="1271"/>
      <c r="Z160" s="1271"/>
      <c r="AA160" s="1271"/>
      <c r="AB160" s="1271"/>
      <c r="AC160" s="1271"/>
      <c r="AD160" s="1271"/>
      <c r="AE160" s="1271"/>
      <c r="AF160" s="1271"/>
      <c r="AG160" s="1271"/>
      <c r="AH160" s="1271"/>
      <c r="AI160" s="1271"/>
      <c r="AJ160" s="1271"/>
      <c r="AK160" s="1271"/>
      <c r="AL160" s="1848"/>
      <c r="AM160" s="1848"/>
      <c r="AN160" s="1271"/>
      <c r="AO160" s="1271"/>
      <c r="AP160" s="1271"/>
      <c r="AQ160" s="1271"/>
    </row>
    <row s="1857" customFormat="1" customHeight="1" ht="17.25">
      <c r="A161" s="1844"/>
      <c r="C161" s="1849"/>
      <c r="D161" s="1834"/>
      <c r="E161" s="1851"/>
      <c r="F161" s="1788"/>
      <c r="G161" s="1852"/>
      <c r="H161" s="2533"/>
      <c r="I161" s="2533"/>
      <c r="J161" s="2505"/>
      <c r="K161" s="2190"/>
      <c r="L161" s="2112"/>
      <c r="M161" s="2112"/>
      <c r="N161" s="2508"/>
      <c r="O161" s="2190"/>
      <c r="P161" s="2112"/>
      <c r="Q161" s="2112"/>
      <c r="R161" s="2506"/>
      <c r="S161" s="2111"/>
      <c r="T161" s="321"/>
      <c r="U161" s="322"/>
      <c r="V161" s="322" t="s">
        <v>432</v>
      </c>
      <c r="W161" s="323"/>
      <c r="Y161" s="1263"/>
      <c r="Z161" s="1263"/>
      <c r="AA161" s="1263"/>
      <c r="AB161" s="1263"/>
      <c r="AC161" s="1263"/>
      <c r="AD161" s="1263"/>
      <c r="AE161" s="1263"/>
      <c r="AF161" s="1263"/>
      <c r="AG161" s="1263"/>
      <c r="AH161" s="1263"/>
      <c r="AI161" s="1263"/>
      <c r="AJ161" s="1263"/>
      <c r="AK161" s="1263"/>
    </row>
    <row s="1857" customFormat="1" customHeight="1" ht="17.25">
      <c r="A162" s="1844"/>
      <c r="C162" s="1849"/>
      <c r="D162" s="1834"/>
      <c r="E162" s="1851"/>
      <c r="F162" s="1788"/>
      <c r="G162" s="1852"/>
      <c r="H162" s="2507"/>
      <c r="I162" s="2507"/>
      <c r="J162" s="2537"/>
      <c r="K162" s="2190"/>
      <c r="L162" s="2507"/>
      <c r="M162" s="2507"/>
      <c r="N162" s="2509"/>
      <c r="O162" s="2116"/>
      <c r="P162" s="321"/>
      <c r="Q162" s="322"/>
      <c r="R162" s="322" t="s">
        <v>433</v>
      </c>
      <c r="S162" s="1850"/>
      <c r="T162" s="1850"/>
      <c r="U162" s="1850"/>
      <c r="V162" s="1850"/>
      <c r="W162" s="323"/>
      <c r="Y162" s="1263"/>
      <c r="Z162" s="1263"/>
      <c r="AA162" s="1263"/>
      <c r="AB162" s="1263"/>
      <c r="AC162" s="1263"/>
      <c r="AD162" s="1263"/>
      <c r="AE162" s="1263"/>
      <c r="AF162" s="1263"/>
      <c r="AG162" s="1263"/>
      <c r="AH162" s="1263"/>
      <c r="AI162" s="1263"/>
      <c r="AJ162" s="1263"/>
      <c r="AK162" s="1263"/>
    </row>
    <row s="1857" customFormat="1" customHeight="1" ht="17.25">
      <c r="A163" s="1844"/>
      <c r="C163" s="1849"/>
      <c r="D163" s="1834"/>
      <c r="E163" s="1851"/>
      <c r="F163" s="1788"/>
      <c r="G163" s="1852"/>
      <c r="H163" s="2507"/>
      <c r="I163" s="2507"/>
      <c r="J163" s="2537"/>
      <c r="K163" s="2116"/>
      <c r="L163" s="321"/>
      <c r="M163" s="322"/>
      <c r="N163" s="322" t="s">
        <v>434</v>
      </c>
      <c r="O163" s="322"/>
      <c r="P163" s="322"/>
      <c r="Q163" s="322"/>
      <c r="R163" s="322"/>
      <c r="S163" s="1850"/>
      <c r="T163" s="1850"/>
      <c r="U163" s="1850"/>
      <c r="V163" s="1850"/>
      <c r="W163" s="323"/>
      <c r="Y163" s="1263"/>
      <c r="Z163" s="1263"/>
      <c r="AA163" s="1263"/>
      <c r="AB163" s="1263"/>
      <c r="AC163" s="1263"/>
      <c r="AD163" s="1263"/>
      <c r="AE163" s="1263"/>
      <c r="AF163" s="1263"/>
      <c r="AG163" s="1263"/>
      <c r="AH163" s="1263"/>
      <c r="AI163" s="1263"/>
      <c r="AJ163" s="1263"/>
      <c r="AK163" s="1263"/>
    </row>
    <row customHeight="1" ht="17.25">
      <c r="G164" s="1843"/>
      <c r="H164" s="1843"/>
      <c r="I164" s="1843"/>
      <c r="M164" s="1839"/>
    </row>
    <row s="1857" customFormat="1" customHeight="1" ht="17.25">
      <c r="A165" s="1844"/>
      <c r="C165" s="1846"/>
      <c r="D165" s="1834"/>
      <c r="E165" s="1851"/>
      <c r="F165" s="1788"/>
      <c r="G165" s="1852"/>
      <c r="H165" s="1834"/>
      <c r="I165" s="1834"/>
      <c r="J165" s="1853"/>
      <c r="K165" s="1764"/>
      <c r="L165" s="2112"/>
      <c r="M165" s="2112" t="s">
        <v>119</v>
      </c>
      <c r="N165" s="2508" t="str">
        <f>IF(Z165="","",INDEX(TERRITORY_MR_LIST,MATCH(Z165,TERRITORY_LIST_ID,0)))</f>
        <v/>
      </c>
      <c r="O165" s="2189" t="s">
        <v>62</v>
      </c>
      <c r="P165" s="2112"/>
      <c r="Q165" s="2112" t="s">
        <v>119</v>
      </c>
      <c r="R165" s="2506" t="s">
        <v>22</v>
      </c>
      <c r="S165" s="2111" t="s">
        <v>62</v>
      </c>
      <c r="T165" s="1815"/>
      <c r="U165" s="1815" t="s">
        <v>119</v>
      </c>
      <c r="V165" s="1847" t="s">
        <v>22</v>
      </c>
      <c r="W165" s="1805"/>
      <c r="Y165" s="1271"/>
      <c r="Z165" s="1271"/>
      <c r="AA165" s="1271"/>
      <c r="AB165" s="1271"/>
      <c r="AC165" s="1271"/>
      <c r="AD165" s="1271"/>
      <c r="AE165" s="1271"/>
      <c r="AF165" s="1271"/>
      <c r="AG165" s="1271"/>
      <c r="AH165" s="1271"/>
      <c r="AI165" s="1271"/>
      <c r="AJ165" s="1271"/>
      <c r="AK165" s="1271"/>
      <c r="AL165" s="1848"/>
      <c r="AM165" s="1848"/>
      <c r="AN165" s="1271"/>
      <c r="AO165" s="1271"/>
      <c r="AP165" s="1271"/>
      <c r="AQ165" s="1271"/>
    </row>
    <row s="1857" customFormat="1" customHeight="1" ht="17.25">
      <c r="A166" s="1844"/>
      <c r="C166" s="1849"/>
      <c r="D166" s="1834"/>
      <c r="E166" s="1851"/>
      <c r="F166" s="1788"/>
      <c r="G166" s="1852"/>
      <c r="H166" s="1834"/>
      <c r="I166" s="1834"/>
      <c r="J166" s="1853"/>
      <c r="K166" s="1764"/>
      <c r="L166" s="2112"/>
      <c r="M166" s="2112"/>
      <c r="N166" s="2508"/>
      <c r="O166" s="2190"/>
      <c r="P166" s="2112"/>
      <c r="Q166" s="2112"/>
      <c r="R166" s="2506"/>
      <c r="S166" s="2111"/>
      <c r="T166" s="321"/>
      <c r="U166" s="322"/>
      <c r="V166" s="322" t="s">
        <v>432</v>
      </c>
      <c r="W166" s="323"/>
      <c r="Y166" s="1263"/>
      <c r="Z166" s="1263"/>
      <c r="AA166" s="1263"/>
      <c r="AB166" s="1263"/>
      <c r="AC166" s="1263"/>
      <c r="AD166" s="1263"/>
      <c r="AE166" s="1263"/>
      <c r="AF166" s="1263"/>
      <c r="AG166" s="1263"/>
      <c r="AH166" s="1263"/>
      <c r="AI166" s="1263"/>
      <c r="AJ166" s="1263"/>
      <c r="AK166" s="1263"/>
    </row>
    <row s="1857" customFormat="1" customHeight="1" ht="17.25">
      <c r="A167" s="1844"/>
      <c r="C167" s="1849"/>
      <c r="D167" s="1834"/>
      <c r="E167" s="1851"/>
      <c r="F167" s="1788"/>
      <c r="G167" s="1852"/>
      <c r="H167" s="1834"/>
      <c r="I167" s="1834"/>
      <c r="J167" s="1853"/>
      <c r="K167" s="1764"/>
      <c r="L167" s="2507"/>
      <c r="M167" s="2507"/>
      <c r="N167" s="2509"/>
      <c r="O167" s="2116"/>
      <c r="P167" s="321"/>
      <c r="Q167" s="322"/>
      <c r="R167" s="322" t="s">
        <v>433</v>
      </c>
      <c r="S167" s="1850"/>
      <c r="T167" s="1850"/>
      <c r="U167" s="1850"/>
      <c r="V167" s="1850"/>
      <c r="W167" s="323"/>
      <c r="Y167" s="1263"/>
      <c r="Z167" s="1263"/>
      <c r="AA167" s="1263"/>
      <c r="AB167" s="1263"/>
      <c r="AC167" s="1263"/>
      <c r="AD167" s="1263"/>
      <c r="AE167" s="1263"/>
      <c r="AF167" s="1263"/>
      <c r="AG167" s="1263"/>
      <c r="AH167" s="1263"/>
      <c r="AI167" s="1263"/>
      <c r="AJ167" s="1263"/>
      <c r="AK167" s="1263"/>
    </row>
    <row customHeight="1" ht="17.25">
      <c r="G168" s="1843"/>
      <c r="H168" s="1843"/>
      <c r="I168" s="1843"/>
      <c r="M168" s="1839"/>
    </row>
    <row s="1857" customFormat="1" customHeight="1" ht="17.25">
      <c r="A169" s="1844"/>
      <c r="C169" s="1846"/>
      <c r="D169" s="1834"/>
      <c r="E169" s="1851"/>
      <c r="F169" s="1788"/>
      <c r="G169" s="1852"/>
      <c r="H169" s="1834"/>
      <c r="I169" s="1834"/>
      <c r="J169" s="1853"/>
      <c r="K169" s="1764"/>
      <c r="L169" s="1760"/>
      <c r="M169" s="1760"/>
      <c r="N169" s="2052"/>
      <c r="O169" s="1791"/>
      <c r="P169" s="2112"/>
      <c r="Q169" s="2112" t="s">
        <v>119</v>
      </c>
      <c r="R169" s="2506" t="s">
        <v>22</v>
      </c>
      <c r="S169" s="2111" t="s">
        <v>62</v>
      </c>
      <c r="T169" s="1815"/>
      <c r="U169" s="1815" t="s">
        <v>119</v>
      </c>
      <c r="V169" s="1847" t="s">
        <v>22</v>
      </c>
      <c r="W169" s="1805"/>
      <c r="Y169" s="1271"/>
      <c r="Z169" s="1271"/>
      <c r="AA169" s="1271"/>
      <c r="AB169" s="1271"/>
      <c r="AC169" s="1271"/>
      <c r="AD169" s="1271"/>
      <c r="AE169" s="1271"/>
      <c r="AF169" s="1271"/>
      <c r="AG169" s="1271"/>
      <c r="AH169" s="1271"/>
      <c r="AI169" s="1271"/>
      <c r="AJ169" s="1271"/>
      <c r="AK169" s="1271"/>
      <c r="AL169" s="1848"/>
      <c r="AM169" s="1848"/>
      <c r="AN169" s="1271"/>
      <c r="AO169" s="1271"/>
      <c r="AP169" s="1271"/>
      <c r="AQ169" s="1271"/>
    </row>
    <row s="1857" customFormat="1" customHeight="1" ht="17.25">
      <c r="A170" s="1844"/>
      <c r="C170" s="1849"/>
      <c r="D170" s="1834"/>
      <c r="E170" s="1851"/>
      <c r="F170" s="1788"/>
      <c r="G170" s="1852"/>
      <c r="H170" s="1834"/>
      <c r="I170" s="1834"/>
      <c r="J170" s="1853"/>
      <c r="K170" s="1764"/>
      <c r="L170" s="1760"/>
      <c r="M170" s="1760"/>
      <c r="N170" s="2052"/>
      <c r="O170" s="1791"/>
      <c r="P170" s="2112"/>
      <c r="Q170" s="2112"/>
      <c r="R170" s="2506"/>
      <c r="S170" s="2111"/>
      <c r="T170" s="321"/>
      <c r="U170" s="322"/>
      <c r="V170" s="322" t="s">
        <v>432</v>
      </c>
      <c r="W170" s="323"/>
      <c r="Y170" s="1263"/>
      <c r="Z170" s="1263"/>
      <c r="AA170" s="1263"/>
      <c r="AB170" s="1263"/>
      <c r="AC170" s="1263"/>
      <c r="AD170" s="1263"/>
      <c r="AE170" s="1263"/>
      <c r="AF170" s="1263"/>
      <c r="AG170" s="1263"/>
      <c r="AH170" s="1263"/>
      <c r="AI170" s="1263"/>
      <c r="AJ170" s="1263"/>
      <c r="AK170" s="1263"/>
    </row>
    <row customHeight="1" ht="17.25">
      <c r="G171" s="1843"/>
      <c r="H171" s="1843"/>
      <c r="I171" s="1843"/>
      <c r="M171" s="1839"/>
    </row>
    <row s="1857" customFormat="1" customHeight="1" ht="17.25">
      <c r="A172" s="1844"/>
      <c r="C172" s="1846"/>
      <c r="D172" s="1834"/>
      <c r="E172" s="1851"/>
      <c r="F172" s="1788"/>
      <c r="G172" s="1852"/>
      <c r="H172" s="1760"/>
      <c r="I172" s="1760"/>
      <c r="J172" s="1761"/>
      <c r="K172" s="1852"/>
      <c r="L172" s="1760"/>
      <c r="M172" s="1760"/>
      <c r="N172" s="1852"/>
      <c r="O172" s="1852"/>
      <c r="P172" s="1760"/>
      <c r="Q172" s="1760"/>
      <c r="R172" s="1762"/>
      <c r="S172" s="1852"/>
      <c r="T172" s="1815"/>
      <c r="U172" s="1815" t="s">
        <v>119</v>
      </c>
      <c r="V172" s="1847" t="s">
        <v>22</v>
      </c>
      <c r="W172" s="1805"/>
      <c r="Y172" s="1271"/>
      <c r="Z172" s="1271"/>
      <c r="AA172" s="1271"/>
      <c r="AB172" s="1271"/>
      <c r="AC172" s="1271"/>
      <c r="AD172" s="1271"/>
      <c r="AE172" s="1271"/>
      <c r="AF172" s="1271"/>
      <c r="AG172" s="1271"/>
      <c r="AH172" s="1271"/>
      <c r="AI172" s="1271"/>
      <c r="AJ172" s="1271"/>
      <c r="AK172" s="1271"/>
      <c r="AL172" s="1848"/>
      <c r="AM172" s="1848"/>
      <c r="AN172" s="1271"/>
      <c r="AO172" s="1271"/>
      <c r="AP172" s="1271"/>
      <c r="AQ172" s="1271"/>
    </row>
    <row r="174" s="1819" customFormat="1" customHeight="1" ht="17.25">
      <c r="A174" s="1819" t="s">
        <v>2234</v>
      </c>
    </row>
    <row customHeight="1" ht="17.25">
      <c r="G175" s="1843"/>
      <c r="H175" s="1843"/>
      <c r="I175" s="1843"/>
      <c r="M175" s="1839"/>
    </row>
    <row s="1857" customFormat="1" customHeight="1" ht="17.25">
      <c r="A176" s="1844"/>
      <c r="C176" s="1846"/>
      <c r="D176" s="2533"/>
      <c r="E176" s="2147"/>
      <c r="F176" s="2149"/>
      <c r="G176" s="2535"/>
      <c r="H176" s="2533"/>
      <c r="I176" s="2533">
        <v>1</v>
      </c>
      <c r="J176" s="2505"/>
      <c r="K176" s="2189" t="s">
        <v>62</v>
      </c>
      <c r="L176" s="2112"/>
      <c r="M176" s="2112" t="s">
        <v>119</v>
      </c>
      <c r="N176" s="2508" t="str">
        <f>IF(Z176="","",INDEX(TERRITORY_MR_LIST,MATCH(Z176,TERRITORY_LIST_ID,0)))</f>
        <v/>
      </c>
      <c r="O176" s="2189" t="s">
        <v>62</v>
      </c>
      <c r="P176" s="2112"/>
      <c r="Q176" s="2112" t="s">
        <v>119</v>
      </c>
      <c r="R176" s="2506" t="s">
        <v>22</v>
      </c>
      <c r="S176" s="2410" t="s">
        <v>19</v>
      </c>
      <c r="T176" s="1806"/>
      <c r="U176" s="1806" t="s">
        <v>119</v>
      </c>
      <c r="V176" s="1438"/>
      <c r="W176" s="2505"/>
      <c r="Y176" s="1271"/>
      <c r="Z176" s="1271"/>
      <c r="AA176" s="1271"/>
      <c r="AB176" s="1271"/>
      <c r="AC176" s="1271"/>
      <c r="AD176" s="1271"/>
      <c r="AE176" s="1271"/>
      <c r="AF176" s="1271"/>
      <c r="AG176" s="1271"/>
      <c r="AH176" s="1271"/>
      <c r="AI176" s="1271"/>
      <c r="AJ176" s="1271"/>
      <c r="AK176" s="1271"/>
      <c r="AL176" s="1848"/>
      <c r="AM176" s="1848"/>
      <c r="AN176" s="1271"/>
      <c r="AO176" s="1271"/>
      <c r="AP176" s="1271"/>
      <c r="AQ176" s="1271"/>
    </row>
    <row s="1857" customFormat="1" customHeight="1" ht="17.25">
      <c r="A177" s="1844"/>
      <c r="C177" s="1849"/>
      <c r="D177" s="2533"/>
      <c r="E177" s="2147"/>
      <c r="F177" s="2150"/>
      <c r="G177" s="2535"/>
      <c r="H177" s="2533"/>
      <c r="I177" s="2533"/>
      <c r="J177" s="2505"/>
      <c r="K177" s="2190"/>
      <c r="L177" s="2112"/>
      <c r="M177" s="2112"/>
      <c r="N177" s="2508"/>
      <c r="O177" s="2190"/>
      <c r="P177" s="2112"/>
      <c r="Q177" s="2112"/>
      <c r="R177" s="2506"/>
      <c r="S177" s="2410"/>
      <c r="T177" s="1439"/>
      <c r="U177" s="1440"/>
      <c r="V177" s="1440"/>
      <c r="W177" s="2505"/>
      <c r="Y177" s="1263"/>
      <c r="Z177" s="1263"/>
      <c r="AA177" s="1263"/>
      <c r="AB177" s="1263"/>
      <c r="AC177" s="1263"/>
      <c r="AD177" s="1263"/>
      <c r="AE177" s="1263"/>
      <c r="AF177" s="1263"/>
      <c r="AG177" s="1263"/>
      <c r="AH177" s="1263"/>
      <c r="AI177" s="1263"/>
      <c r="AJ177" s="1263"/>
      <c r="AK177" s="1263"/>
    </row>
    <row s="1857" customFormat="1" customHeight="1" ht="17.25">
      <c r="A178" s="1844"/>
      <c r="C178" s="1849"/>
      <c r="D178" s="2507"/>
      <c r="E178" s="2534"/>
      <c r="F178" s="2150"/>
      <c r="G178" s="2536"/>
      <c r="H178" s="2507"/>
      <c r="I178" s="2507"/>
      <c r="J178" s="2537"/>
      <c r="K178" s="2190"/>
      <c r="L178" s="2507"/>
      <c r="M178" s="2507"/>
      <c r="N178" s="2509"/>
      <c r="O178" s="2116"/>
      <c r="P178" s="321"/>
      <c r="Q178" s="322"/>
      <c r="R178" s="322" t="s">
        <v>433</v>
      </c>
      <c r="S178" s="1850"/>
      <c r="T178" s="1850"/>
      <c r="U178" s="1850"/>
      <c r="V178" s="1850"/>
      <c r="W178" s="1437"/>
      <c r="Y178" s="1263"/>
      <c r="Z178" s="1263"/>
      <c r="AA178" s="1263"/>
      <c r="AB178" s="1263"/>
      <c r="AC178" s="1263"/>
      <c r="AD178" s="1263"/>
      <c r="AE178" s="1263"/>
      <c r="AF178" s="1263"/>
      <c r="AG178" s="1263"/>
      <c r="AH178" s="1263"/>
      <c r="AI178" s="1263"/>
      <c r="AJ178" s="1263"/>
      <c r="AK178" s="1263"/>
    </row>
    <row s="1857" customFormat="1" customHeight="1" ht="17.25">
      <c r="A179" s="1844"/>
      <c r="C179" s="1849"/>
      <c r="D179" s="2507"/>
      <c r="E179" s="2534"/>
      <c r="F179" s="2150"/>
      <c r="G179" s="2536"/>
      <c r="H179" s="2507"/>
      <c r="I179" s="2507"/>
      <c r="J179" s="2537"/>
      <c r="K179" s="2116"/>
      <c r="L179" s="321"/>
      <c r="M179" s="322"/>
      <c r="N179" s="322" t="s">
        <v>434</v>
      </c>
      <c r="O179" s="322"/>
      <c r="P179" s="322"/>
      <c r="Q179" s="322"/>
      <c r="R179" s="322"/>
      <c r="S179" s="1850"/>
      <c r="T179" s="1850"/>
      <c r="U179" s="1850"/>
      <c r="V179" s="1850"/>
      <c r="W179" s="323"/>
      <c r="Y179" s="1263"/>
      <c r="Z179" s="1263"/>
      <c r="AA179" s="1263"/>
      <c r="AB179" s="1263"/>
      <c r="AC179" s="1263"/>
      <c r="AD179" s="1263"/>
      <c r="AE179" s="1263"/>
      <c r="AF179" s="1263"/>
      <c r="AG179" s="1263"/>
      <c r="AH179" s="1263"/>
      <c r="AI179" s="1263"/>
      <c r="AJ179" s="1263"/>
      <c r="AK179" s="1263"/>
    </row>
    <row s="1857" customFormat="1" customHeight="1" ht="17.25">
      <c r="A180" s="1844"/>
      <c r="C180" s="1849"/>
      <c r="D180" s="2507"/>
      <c r="E180" s="2534"/>
      <c r="F180" s="2151"/>
      <c r="G180" s="2536"/>
      <c r="H180" s="321"/>
      <c r="I180" s="322"/>
      <c r="J180" s="322" t="s">
        <v>466</v>
      </c>
      <c r="K180" s="322"/>
      <c r="L180" s="322"/>
      <c r="M180" s="322"/>
      <c r="N180" s="322"/>
      <c r="O180" s="322"/>
      <c r="P180" s="322"/>
      <c r="Q180" s="322"/>
      <c r="R180" s="322"/>
      <c r="S180" s="1850"/>
      <c r="T180" s="1850"/>
      <c r="U180" s="1850"/>
      <c r="V180" s="1850"/>
      <c r="W180" s="323"/>
      <c r="Y180" s="1263"/>
      <c r="Z180" s="1263"/>
      <c r="AA180" s="1263"/>
      <c r="AB180" s="1263"/>
      <c r="AC180" s="1263"/>
      <c r="AD180" s="1263"/>
      <c r="AE180" s="1263"/>
      <c r="AF180" s="1263"/>
      <c r="AG180" s="1263"/>
      <c r="AH180" s="1263"/>
      <c r="AI180" s="1263"/>
      <c r="AJ180" s="1263"/>
      <c r="AK180" s="1263"/>
    </row>
    <row customHeight="1" ht="17.25">
      <c r="A181" s="1854"/>
    </row>
    <row s="1857" customFormat="1" customHeight="1" ht="17.25">
      <c r="A182" s="1844"/>
      <c r="C182" s="1846"/>
      <c r="D182" s="1834"/>
      <c r="E182" s="1851"/>
      <c r="F182" s="1788"/>
      <c r="G182" s="1852"/>
      <c r="H182" s="2533"/>
      <c r="I182" s="2533">
        <v>1</v>
      </c>
      <c r="J182" s="2505"/>
      <c r="K182" s="2189" t="s">
        <v>62</v>
      </c>
      <c r="L182" s="2112"/>
      <c r="M182" s="2112" t="s">
        <v>119</v>
      </c>
      <c r="N182" s="2508" t="str">
        <f>IF(Z182="","",INDEX(TERRITORY_MR_LIST,MATCH(Z182,TERRITORY_LIST_ID,0)))</f>
        <v/>
      </c>
      <c r="O182" s="2189" t="s">
        <v>62</v>
      </c>
      <c r="P182" s="2112"/>
      <c r="Q182" s="2112" t="s">
        <v>119</v>
      </c>
      <c r="R182" s="2506" t="s">
        <v>22</v>
      </c>
      <c r="S182" s="2410" t="s">
        <v>19</v>
      </c>
      <c r="T182" s="1806"/>
      <c r="U182" s="1806" t="s">
        <v>119</v>
      </c>
      <c r="V182" s="1438"/>
      <c r="W182" s="2505"/>
      <c r="Y182" s="1271"/>
      <c r="Z182" s="1271"/>
      <c r="AA182" s="1271"/>
      <c r="AB182" s="1271"/>
      <c r="AC182" s="1271"/>
      <c r="AD182" s="1271"/>
      <c r="AE182" s="1271"/>
      <c r="AF182" s="1271"/>
      <c r="AG182" s="1271"/>
      <c r="AH182" s="1271"/>
      <c r="AI182" s="1271"/>
      <c r="AJ182" s="1271"/>
      <c r="AK182" s="1271"/>
      <c r="AL182" s="1848"/>
      <c r="AM182" s="1848"/>
      <c r="AN182" s="1271"/>
      <c r="AO182" s="1271"/>
      <c r="AP182" s="1271"/>
      <c r="AQ182" s="1271"/>
    </row>
    <row s="1857" customFormat="1" customHeight="1" ht="17.25">
      <c r="A183" s="1844"/>
      <c r="C183" s="1849"/>
      <c r="D183" s="1834"/>
      <c r="E183" s="1851"/>
      <c r="F183" s="1788"/>
      <c r="G183" s="1852"/>
      <c r="H183" s="2533"/>
      <c r="I183" s="2533"/>
      <c r="J183" s="2505"/>
      <c r="K183" s="2190"/>
      <c r="L183" s="2112"/>
      <c r="M183" s="2112"/>
      <c r="N183" s="2508"/>
      <c r="O183" s="2190"/>
      <c r="P183" s="2112"/>
      <c r="Q183" s="2112"/>
      <c r="R183" s="2506"/>
      <c r="S183" s="2410"/>
      <c r="T183" s="1439"/>
      <c r="U183" s="1440"/>
      <c r="V183" s="1440"/>
      <c r="W183" s="2505"/>
      <c r="Y183" s="1263"/>
      <c r="Z183" s="1263"/>
      <c r="AA183" s="1263"/>
      <c r="AB183" s="1263"/>
      <c r="AC183" s="1263"/>
      <c r="AD183" s="1263"/>
      <c r="AE183" s="1263"/>
      <c r="AF183" s="1263"/>
      <c r="AG183" s="1263"/>
      <c r="AH183" s="1263"/>
      <c r="AI183" s="1263"/>
      <c r="AJ183" s="1263"/>
      <c r="AK183" s="1263"/>
    </row>
    <row s="1857" customFormat="1" customHeight="1" ht="17.25">
      <c r="A184" s="1844"/>
      <c r="C184" s="1849"/>
      <c r="D184" s="1834"/>
      <c r="E184" s="1851"/>
      <c r="F184" s="1788"/>
      <c r="G184" s="1852"/>
      <c r="H184" s="2507"/>
      <c r="I184" s="2507"/>
      <c r="J184" s="2537"/>
      <c r="K184" s="2190"/>
      <c r="L184" s="2507"/>
      <c r="M184" s="2507"/>
      <c r="N184" s="2509"/>
      <c r="O184" s="2116"/>
      <c r="P184" s="321"/>
      <c r="Q184" s="322"/>
      <c r="R184" s="322" t="s">
        <v>433</v>
      </c>
      <c r="S184" s="1850"/>
      <c r="T184" s="1850"/>
      <c r="U184" s="1850"/>
      <c r="V184" s="1850"/>
      <c r="W184" s="1437"/>
      <c r="Y184" s="1263"/>
      <c r="Z184" s="1263"/>
      <c r="AA184" s="1263"/>
      <c r="AB184" s="1263"/>
      <c r="AC184" s="1263"/>
      <c r="AD184" s="1263"/>
      <c r="AE184" s="1263"/>
      <c r="AF184" s="1263"/>
      <c r="AG184" s="1263"/>
      <c r="AH184" s="1263"/>
      <c r="AI184" s="1263"/>
      <c r="AJ184" s="1263"/>
      <c r="AK184" s="1263"/>
    </row>
    <row s="1857" customFormat="1" customHeight="1" ht="17.25">
      <c r="A185" s="1844"/>
      <c r="C185" s="1849"/>
      <c r="D185" s="1834"/>
      <c r="E185" s="1851"/>
      <c r="F185" s="1788"/>
      <c r="G185" s="1852"/>
      <c r="H185" s="2507"/>
      <c r="I185" s="2507"/>
      <c r="J185" s="2537"/>
      <c r="K185" s="2116"/>
      <c r="L185" s="321"/>
      <c r="M185" s="322"/>
      <c r="N185" s="322" t="s">
        <v>434</v>
      </c>
      <c r="O185" s="322"/>
      <c r="P185" s="322"/>
      <c r="Q185" s="322"/>
      <c r="R185" s="322"/>
      <c r="S185" s="1850"/>
      <c r="T185" s="1850"/>
      <c r="U185" s="1850"/>
      <c r="V185" s="1850"/>
      <c r="W185" s="323"/>
      <c r="Y185" s="1263"/>
      <c r="Z185" s="1263"/>
      <c r="AA185" s="1263"/>
      <c r="AB185" s="1263"/>
      <c r="AC185" s="1263"/>
      <c r="AD185" s="1263"/>
      <c r="AE185" s="1263"/>
      <c r="AF185" s="1263"/>
      <c r="AG185" s="1263"/>
      <c r="AH185" s="1263"/>
      <c r="AI185" s="1263"/>
      <c r="AJ185" s="1263"/>
      <c r="AK185" s="1263"/>
    </row>
    <row customHeight="1" ht="17.25">
      <c r="A186" s="1854"/>
    </row>
    <row s="1857" customFormat="1" customHeight="1" ht="17.25">
      <c r="A187" s="1844"/>
      <c r="C187" s="1846"/>
      <c r="D187" s="1834"/>
      <c r="E187" s="1851"/>
      <c r="F187" s="1788"/>
      <c r="G187" s="1852"/>
      <c r="H187" s="1834"/>
      <c r="I187" s="1834"/>
      <c r="J187" s="1855"/>
      <c r="K187" s="1852"/>
      <c r="L187" s="2112"/>
      <c r="M187" s="2112" t="s">
        <v>119</v>
      </c>
      <c r="N187" s="2508" t="str">
        <f>IF(Z187="","",INDEX(TERRITORY_MR_LIST,MATCH(Z187,TERRITORY_LIST_ID,0)))</f>
        <v/>
      </c>
      <c r="O187" s="2189" t="s">
        <v>62</v>
      </c>
      <c r="P187" s="2112"/>
      <c r="Q187" s="2112" t="s">
        <v>119</v>
      </c>
      <c r="R187" s="2506" t="s">
        <v>22</v>
      </c>
      <c r="S187" s="2410" t="s">
        <v>19</v>
      </c>
      <c r="T187" s="1806"/>
      <c r="U187" s="1806" t="s">
        <v>119</v>
      </c>
      <c r="V187" s="1438"/>
      <c r="W187" s="2505"/>
      <c r="Y187" s="1271"/>
      <c r="Z187" s="1271"/>
      <c r="AA187" s="1271"/>
      <c r="AB187" s="1271"/>
      <c r="AC187" s="1271"/>
      <c r="AD187" s="1271"/>
      <c r="AE187" s="1271"/>
      <c r="AF187" s="1271"/>
      <c r="AG187" s="1271"/>
      <c r="AH187" s="1271"/>
      <c r="AI187" s="1271"/>
      <c r="AJ187" s="1271"/>
      <c r="AK187" s="1271"/>
      <c r="AL187" s="1848"/>
      <c r="AM187" s="1848"/>
      <c r="AN187" s="1271"/>
      <c r="AO187" s="1271"/>
      <c r="AP187" s="1271"/>
      <c r="AQ187" s="1271"/>
    </row>
    <row s="1857" customFormat="1" customHeight="1" ht="17.25">
      <c r="A188" s="1844"/>
      <c r="C188" s="1849"/>
      <c r="D188" s="1834"/>
      <c r="E188" s="1851"/>
      <c r="F188" s="1788"/>
      <c r="G188" s="1852"/>
      <c r="H188" s="1834"/>
      <c r="I188" s="1834"/>
      <c r="J188" s="1855"/>
      <c r="K188" s="1852"/>
      <c r="L188" s="2112"/>
      <c r="M188" s="2112"/>
      <c r="N188" s="2508"/>
      <c r="O188" s="2190"/>
      <c r="P188" s="2112"/>
      <c r="Q188" s="2112"/>
      <c r="R188" s="2506"/>
      <c r="S188" s="2410"/>
      <c r="T188" s="1439"/>
      <c r="U188" s="1440"/>
      <c r="V188" s="1440"/>
      <c r="W188" s="2505"/>
      <c r="Y188" s="1263"/>
      <c r="Z188" s="1263"/>
      <c r="AA188" s="1263"/>
      <c r="AB188" s="1263"/>
      <c r="AC188" s="1263"/>
      <c r="AD188" s="1263"/>
      <c r="AE188" s="1263"/>
      <c r="AF188" s="1263"/>
      <c r="AG188" s="1263"/>
      <c r="AH188" s="1263"/>
      <c r="AI188" s="1263"/>
      <c r="AJ188" s="1263"/>
      <c r="AK188" s="1263"/>
    </row>
    <row s="1857" customFormat="1" customHeight="1" ht="17.25">
      <c r="A189" s="1844"/>
      <c r="C189" s="1849"/>
      <c r="D189" s="1834"/>
      <c r="E189" s="1851"/>
      <c r="F189" s="1788"/>
      <c r="G189" s="1852"/>
      <c r="H189" s="1834"/>
      <c r="I189" s="1834"/>
      <c r="J189" s="1855"/>
      <c r="K189" s="1852"/>
      <c r="L189" s="2507"/>
      <c r="M189" s="2507"/>
      <c r="N189" s="2509"/>
      <c r="O189" s="2116"/>
      <c r="P189" s="321"/>
      <c r="Q189" s="322"/>
      <c r="R189" s="322" t="s">
        <v>433</v>
      </c>
      <c r="S189" s="1850"/>
      <c r="T189" s="1850"/>
      <c r="U189" s="1850"/>
      <c r="V189" s="1850"/>
      <c r="W189" s="1437"/>
      <c r="Y189" s="1263"/>
      <c r="Z189" s="1263"/>
      <c r="AA189" s="1263"/>
      <c r="AB189" s="1263"/>
      <c r="AC189" s="1263"/>
      <c r="AD189" s="1263"/>
      <c r="AE189" s="1263"/>
      <c r="AF189" s="1263"/>
      <c r="AG189" s="1263"/>
      <c r="AH189" s="1263"/>
      <c r="AI189" s="1263"/>
      <c r="AJ189" s="1263"/>
      <c r="AK189" s="1263"/>
    </row>
    <row customHeight="1" ht="17.25">
      <c r="A190" s="1854"/>
    </row>
    <row s="1857" customFormat="1" customHeight="1" ht="17.25">
      <c r="A191" s="1844"/>
      <c r="C191" s="1846"/>
      <c r="D191" s="1834"/>
      <c r="E191" s="1851"/>
      <c r="F191" s="1788"/>
      <c r="G191" s="1852"/>
      <c r="H191" s="1834"/>
      <c r="I191" s="1834"/>
      <c r="J191" s="1855"/>
      <c r="K191" s="1852"/>
      <c r="L191" s="1834"/>
      <c r="M191" s="1834"/>
      <c r="N191" s="2052"/>
      <c r="O191" s="1791"/>
      <c r="P191" s="2112"/>
      <c r="Q191" s="2112" t="s">
        <v>119</v>
      </c>
      <c r="R191" s="2506" t="s">
        <v>22</v>
      </c>
      <c r="S191" s="2410" t="s">
        <v>19</v>
      </c>
      <c r="T191" s="1806"/>
      <c r="U191" s="1806" t="s">
        <v>119</v>
      </c>
      <c r="V191" s="1438"/>
      <c r="W191" s="2505"/>
      <c r="Y191" s="1271"/>
      <c r="Z191" s="1271"/>
      <c r="AA191" s="1271"/>
      <c r="AB191" s="1271"/>
      <c r="AC191" s="1271"/>
      <c r="AD191" s="1271"/>
      <c r="AE191" s="1271"/>
      <c r="AF191" s="1271"/>
      <c r="AG191" s="1271"/>
      <c r="AH191" s="1271"/>
      <c r="AI191" s="1271"/>
      <c r="AJ191" s="1271"/>
      <c r="AK191" s="1271"/>
      <c r="AL191" s="1848"/>
      <c r="AM191" s="1848"/>
      <c r="AN191" s="1271"/>
      <c r="AO191" s="1271"/>
      <c r="AP191" s="1271"/>
      <c r="AQ191" s="1271"/>
    </row>
    <row s="1857" customFormat="1" customHeight="1" ht="17.25">
      <c r="A192" s="1844"/>
      <c r="C192" s="1849"/>
      <c r="D192" s="1834"/>
      <c r="E192" s="1851"/>
      <c r="F192" s="1788"/>
      <c r="G192" s="1852"/>
      <c r="H192" s="1834"/>
      <c r="I192" s="1834"/>
      <c r="J192" s="1855"/>
      <c r="K192" s="1852"/>
      <c r="L192" s="1834"/>
      <c r="M192" s="1834"/>
      <c r="N192" s="2052"/>
      <c r="O192" s="1791"/>
      <c r="P192" s="2112"/>
      <c r="Q192" s="2112"/>
      <c r="R192" s="2506"/>
      <c r="S192" s="2410"/>
      <c r="T192" s="1439"/>
      <c r="U192" s="1440"/>
      <c r="V192" s="1440"/>
      <c r="W192" s="2505"/>
      <c r="Y192" s="1263"/>
      <c r="Z192" s="1263"/>
      <c r="AA192" s="1263"/>
      <c r="AB192" s="1263"/>
      <c r="AC192" s="1263"/>
      <c r="AD192" s="1263"/>
      <c r="AE192" s="1263"/>
      <c r="AF192" s="1263"/>
      <c r="AG192" s="1263"/>
      <c r="AH192" s="1263"/>
      <c r="AI192" s="1263"/>
      <c r="AJ192" s="1263"/>
      <c r="AK192" s="1263"/>
    </row>
    <row customHeight="1" ht="17.25">
      <c r="A193" s="1854"/>
    </row>
    <row customHeight="1" ht="16.5">
      <c r="A194" s="1844"/>
      <c r="B194" s="1845"/>
      <c r="C194" s="1849"/>
      <c r="D194" s="2557"/>
      <c r="E194" s="2183"/>
      <c r="F194" s="2183"/>
      <c r="G194" s="2131"/>
      <c r="H194" s="2558"/>
      <c r="I194" s="2571"/>
      <c r="J194" s="2156"/>
      <c r="K194" s="2141"/>
      <c r="L194" s="2141"/>
      <c r="M194" s="2141"/>
      <c r="N194" s="2569"/>
      <c r="O194" s="2141"/>
      <c r="P194" s="2141"/>
      <c r="Q194" s="2141"/>
      <c r="R194" s="2567"/>
      <c r="S194" s="2141"/>
      <c r="T194" s="1787"/>
      <c r="U194" s="1787"/>
      <c r="V194" s="1856"/>
      <c r="W194" s="1300"/>
    </row>
    <row customHeight="1" ht="16.5">
      <c r="A195" s="1844"/>
      <c r="B195" s="1845"/>
      <c r="C195" s="1849"/>
      <c r="D195" s="2557"/>
      <c r="E195" s="2183"/>
      <c r="F195" s="2183"/>
      <c r="G195" s="2131"/>
      <c r="H195" s="2559"/>
      <c r="I195" s="2572"/>
      <c r="J195" s="2157"/>
      <c r="K195" s="2142"/>
      <c r="L195" s="2142"/>
      <c r="M195" s="2142"/>
      <c r="N195" s="2570"/>
      <c r="O195" s="2142"/>
      <c r="P195" s="2142"/>
      <c r="Q195" s="2142"/>
      <c r="R195" s="2568"/>
      <c r="S195" s="2142"/>
      <c r="T195" s="1301"/>
      <c r="U195" s="1301"/>
      <c r="V195" s="1301"/>
      <c r="W195" s="1302"/>
    </row>
    <row customHeight="1" ht="17.25">
      <c r="A196" s="1844"/>
      <c r="B196" s="1845"/>
      <c r="C196" s="1849"/>
      <c r="D196" s="2557"/>
      <c r="E196" s="2183"/>
      <c r="F196" s="2183"/>
      <c r="G196" s="2131"/>
      <c r="H196" s="2559"/>
      <c r="I196" s="2572"/>
      <c r="J196" s="2560"/>
      <c r="K196" s="2142"/>
      <c r="L196" s="2142"/>
      <c r="M196" s="2142"/>
      <c r="N196" s="2568"/>
      <c r="O196" s="2142"/>
      <c r="P196" s="1790"/>
      <c r="Q196" s="1301"/>
      <c r="R196" s="1301"/>
      <c r="S196" s="1857"/>
      <c r="T196" s="1857"/>
      <c r="U196" s="1857"/>
      <c r="V196" s="1857"/>
      <c r="W196" s="1302"/>
    </row>
    <row customHeight="1" ht="17.25">
      <c r="A197" s="1844"/>
      <c r="B197" s="1845"/>
      <c r="C197" s="1849"/>
      <c r="D197" s="2557"/>
      <c r="E197" s="2183"/>
      <c r="F197" s="2183"/>
      <c r="G197" s="2131"/>
      <c r="H197" s="2559"/>
      <c r="I197" s="2572"/>
      <c r="J197" s="2560"/>
      <c r="K197" s="2142"/>
      <c r="L197" s="1301"/>
      <c r="M197" s="1301"/>
      <c r="N197" s="1301"/>
      <c r="O197" s="1301"/>
      <c r="P197" s="1301"/>
      <c r="Q197" s="1301"/>
      <c r="R197" s="1301"/>
      <c r="S197" s="1857"/>
      <c r="T197" s="1857"/>
      <c r="U197" s="1857"/>
      <c r="V197" s="1857"/>
      <c r="W197" s="1302"/>
    </row>
    <row customHeight="1" ht="17.25">
      <c r="A198" s="1844"/>
      <c r="B198" s="1845"/>
      <c r="C198" s="1849"/>
      <c r="D198" s="2557"/>
      <c r="E198" s="2183"/>
      <c r="F198" s="2183"/>
      <c r="G198" s="2131"/>
      <c r="H198" s="1303"/>
      <c r="I198" s="1304"/>
      <c r="J198" s="1304"/>
      <c r="K198" s="1304"/>
      <c r="L198" s="1304"/>
      <c r="M198" s="1304"/>
      <c r="N198" s="1304"/>
      <c r="O198" s="1304"/>
      <c r="P198" s="1304"/>
      <c r="Q198" s="1304"/>
      <c r="R198" s="1304"/>
      <c r="S198" s="1858"/>
      <c r="T198" s="1858"/>
      <c r="U198" s="1858"/>
      <c r="V198" s="1858"/>
      <c r="W198" s="1306"/>
    </row>
    <row r="200" s="1819" customFormat="1" customHeight="1" ht="17.25">
      <c r="A200" s="1819" t="s">
        <v>2235</v>
      </c>
    </row>
    <row customHeight="1" ht="17.25">
      <c r="G201" s="1843"/>
      <c r="H201" s="1843"/>
      <c r="I201" s="1843"/>
      <c r="M201" s="1839"/>
    </row>
    <row s="1854" customFormat="1" customHeight="1" ht="15">
      <c r="D202" s="2527"/>
      <c r="E202" s="2203"/>
      <c r="F202" s="2203"/>
      <c r="G202" s="2189"/>
      <c r="H202" s="1568"/>
      <c r="I202" s="2531">
        <v>1</v>
      </c>
      <c r="J202" s="2505"/>
      <c r="K202" s="1583"/>
      <c r="L202" s="2189" t="s">
        <v>62</v>
      </c>
      <c r="M202" s="2189" t="s">
        <v>62</v>
      </c>
      <c r="N202" s="1568"/>
      <c r="O202" s="2112" t="s">
        <v>119</v>
      </c>
      <c r="P202" s="2521"/>
      <c r="Q202" s="1584"/>
      <c r="R202" s="2189" t="s">
        <v>62</v>
      </c>
      <c r="S202" s="2189" t="s">
        <v>62</v>
      </c>
      <c r="T202" s="1859"/>
      <c r="U202" s="2112" t="s">
        <v>119</v>
      </c>
      <c r="V202" s="2528" t="str">
        <f>IF(AK202="","",INDEX(TERRITORY_MR_LIST,MATCH(AK202,TERRITORY_LIST_ID,0)))</f>
        <v/>
      </c>
      <c r="W202" s="1585"/>
      <c r="X202" s="2189" t="s">
        <v>62</v>
      </c>
      <c r="Y202" s="2189" t="s">
        <v>19</v>
      </c>
      <c r="Z202" s="1568"/>
      <c r="AA202" s="2112" t="s">
        <v>119</v>
      </c>
      <c r="AB202" s="2530"/>
      <c r="AC202" s="1586"/>
      <c r="AD202" s="2189" t="s">
        <v>62</v>
      </c>
      <c r="AE202" s="2189" t="s">
        <v>19</v>
      </c>
      <c r="AF202" s="1566"/>
      <c r="AG202" s="1815" t="s">
        <v>119</v>
      </c>
      <c r="AH202" s="1576"/>
      <c r="AI202" s="1805"/>
    </row>
    <row s="1854" customFormat="1" customHeight="1" ht="15">
      <c r="D203" s="2527"/>
      <c r="E203" s="2203"/>
      <c r="F203" s="2203"/>
      <c r="G203" s="2190"/>
      <c r="H203" s="1568"/>
      <c r="I203" s="2531"/>
      <c r="J203" s="2505"/>
      <c r="K203" s="1567"/>
      <c r="L203" s="2190"/>
      <c r="M203" s="2190"/>
      <c r="N203" s="1568"/>
      <c r="O203" s="2112"/>
      <c r="P203" s="2521"/>
      <c r="Q203" s="1564"/>
      <c r="R203" s="2190"/>
      <c r="S203" s="2190"/>
      <c r="T203" s="1859"/>
      <c r="U203" s="2112"/>
      <c r="V203" s="2529"/>
      <c r="W203" s="1565"/>
      <c r="X203" s="2190"/>
      <c r="Y203" s="2190"/>
      <c r="Z203" s="1568"/>
      <c r="AA203" s="2112"/>
      <c r="AB203" s="2499"/>
      <c r="AC203" s="1569"/>
      <c r="AD203" s="2116"/>
      <c r="AE203" s="2116"/>
      <c r="AF203" s="1570"/>
      <c r="AG203" s="1571"/>
      <c r="AH203" s="2522" t="s">
        <v>2236</v>
      </c>
      <c r="AI203" s="2523"/>
    </row>
    <row s="1854" customFormat="1" customHeight="1" ht="15">
      <c r="D204" s="2527"/>
      <c r="E204" s="2203"/>
      <c r="F204" s="2203"/>
      <c r="G204" s="2190"/>
      <c r="H204" s="1568"/>
      <c r="I204" s="2531"/>
      <c r="J204" s="2505"/>
      <c r="K204" s="1567"/>
      <c r="L204" s="2190"/>
      <c r="M204" s="2190"/>
      <c r="N204" s="1568"/>
      <c r="O204" s="2112"/>
      <c r="P204" s="2521"/>
      <c r="Q204" s="1564"/>
      <c r="R204" s="2190"/>
      <c r="S204" s="2190"/>
      <c r="T204" s="1859"/>
      <c r="U204" s="2112"/>
      <c r="V204" s="2529"/>
      <c r="W204" s="1565"/>
      <c r="X204" s="2190"/>
      <c r="Y204" s="2190"/>
      <c r="Z204" s="1607"/>
      <c r="AA204" s="1573"/>
      <c r="AB204" s="2524" t="s">
        <v>2237</v>
      </c>
      <c r="AC204" s="2524"/>
      <c r="AD204" s="2524"/>
      <c r="AE204" s="2524"/>
      <c r="AF204" s="2524"/>
      <c r="AG204" s="2524"/>
      <c r="AH204" s="2524"/>
      <c r="AI204" s="2525"/>
    </row>
    <row s="1854" customFormat="1" customHeight="1" ht="15">
      <c r="D205" s="2527"/>
      <c r="E205" s="2203"/>
      <c r="F205" s="2203"/>
      <c r="G205" s="2190"/>
      <c r="H205" s="1568"/>
      <c r="I205" s="2531"/>
      <c r="J205" s="2505"/>
      <c r="K205" s="1567"/>
      <c r="L205" s="2190"/>
      <c r="M205" s="2190"/>
      <c r="N205" s="1568"/>
      <c r="O205" s="2112"/>
      <c r="P205" s="2526"/>
      <c r="Q205" s="1564"/>
      <c r="R205" s="2190"/>
      <c r="S205" s="2190"/>
      <c r="T205" s="1860"/>
      <c r="U205" s="1608"/>
      <c r="V205" s="2522" t="s">
        <v>113</v>
      </c>
      <c r="W205" s="2522"/>
      <c r="X205" s="2522"/>
      <c r="Y205" s="2522"/>
      <c r="Z205" s="2522"/>
      <c r="AA205" s="2522"/>
      <c r="AB205" s="2522"/>
      <c r="AC205" s="2522"/>
      <c r="AD205" s="2522"/>
      <c r="AE205" s="2522"/>
      <c r="AF205" s="2522"/>
      <c r="AG205" s="2522"/>
      <c r="AH205" s="2522"/>
      <c r="AI205" s="2523"/>
    </row>
    <row s="1854" customFormat="1" customHeight="1" ht="11.25">
      <c r="D206" s="2527"/>
      <c r="E206" s="2203"/>
      <c r="F206" s="2203"/>
      <c r="G206" s="2190"/>
      <c r="H206" s="1572"/>
      <c r="I206" s="2531"/>
      <c r="J206" s="2532"/>
      <c r="K206" s="1567"/>
      <c r="L206" s="2190"/>
      <c r="M206" s="2190"/>
      <c r="N206" s="1572"/>
      <c r="O206" s="1573"/>
      <c r="P206" s="2522" t="s">
        <v>2238</v>
      </c>
      <c r="Q206" s="2522"/>
      <c r="R206" s="2522"/>
      <c r="S206" s="2522"/>
      <c r="T206" s="2522"/>
      <c r="U206" s="2522"/>
      <c r="V206" s="2522"/>
      <c r="W206" s="2522"/>
      <c r="X206" s="2522"/>
      <c r="Y206" s="2522"/>
      <c r="Z206" s="2522"/>
      <c r="AA206" s="2522"/>
      <c r="AB206" s="2522"/>
      <c r="AC206" s="2522"/>
      <c r="AD206" s="2522"/>
      <c r="AE206" s="2522"/>
      <c r="AF206" s="2522"/>
      <c r="AG206" s="2522"/>
      <c r="AH206" s="2522"/>
      <c r="AI206" s="2523"/>
    </row>
    <row s="1558" customFormat="1" customHeight="1" ht="11.25">
      <c r="D207" s="2527"/>
      <c r="E207" s="2203"/>
      <c r="F207" s="2203"/>
      <c r="G207" s="2116"/>
      <c r="H207" s="1574"/>
      <c r="I207" s="1575"/>
      <c r="J207" s="2522" t="s">
        <v>466</v>
      </c>
      <c r="K207" s="2522"/>
      <c r="L207" s="2522"/>
      <c r="M207" s="2522"/>
      <c r="N207" s="2522"/>
      <c r="O207" s="2522"/>
      <c r="P207" s="2522"/>
      <c r="Q207" s="2522"/>
      <c r="R207" s="2522"/>
      <c r="S207" s="2522"/>
      <c r="T207" s="2522"/>
      <c r="U207" s="2522"/>
      <c r="V207" s="2522"/>
      <c r="W207" s="2522"/>
      <c r="X207" s="2522"/>
      <c r="Y207" s="2522"/>
      <c r="Z207" s="2522"/>
      <c r="AA207" s="2522"/>
      <c r="AB207" s="2522"/>
      <c r="AC207" s="2522"/>
      <c r="AD207" s="2522"/>
      <c r="AE207" s="2522"/>
      <c r="AF207" s="2522"/>
      <c r="AG207" s="2522"/>
      <c r="AH207" s="2522"/>
      <c r="AI207" s="2523"/>
      <c r="BK207" s="1578"/>
    </row>
    <row customHeight="1" ht="17.25">
      <c r="G208" s="1843"/>
      <c r="I208" s="1843"/>
      <c r="J208" s="1843"/>
      <c r="N208" s="1839"/>
    </row>
    <row s="1854" customFormat="1" customHeight="1" ht="15">
      <c r="D209" s="2527"/>
      <c r="E209" s="2203"/>
      <c r="F209" s="2203"/>
      <c r="G209" s="2183"/>
      <c r="H209" s="1603"/>
      <c r="I209" s="2185"/>
      <c r="J209" s="2156"/>
      <c r="K209" s="1789"/>
      <c r="L209" s="2141"/>
      <c r="M209" s="2141"/>
      <c r="N209" s="1588"/>
      <c r="O209" s="2141"/>
      <c r="P209" s="2156"/>
      <c r="Q209" s="1793"/>
      <c r="R209" s="2141"/>
      <c r="S209" s="2141"/>
      <c r="T209" s="1861"/>
      <c r="U209" s="2141"/>
      <c r="V209" s="2156"/>
      <c r="W209" s="1591"/>
      <c r="X209" s="2141"/>
      <c r="Y209" s="2141"/>
      <c r="Z209" s="1588"/>
      <c r="AA209" s="2141"/>
      <c r="AB209" s="2156"/>
      <c r="AC209" s="1592"/>
      <c r="AD209" s="2141"/>
      <c r="AE209" s="2141"/>
      <c r="AF209" s="1787"/>
      <c r="AG209" s="1787"/>
      <c r="AH209" s="1593"/>
      <c r="AI209" s="1300"/>
    </row>
    <row s="1854" customFormat="1" customHeight="1" ht="15">
      <c r="D210" s="2527"/>
      <c r="E210" s="2203"/>
      <c r="F210" s="2203"/>
      <c r="G210" s="2183"/>
      <c r="H210" s="1604"/>
      <c r="I210" s="2186"/>
      <c r="J210" s="2157"/>
      <c r="K210" s="1614"/>
      <c r="L210" s="2142"/>
      <c r="M210" s="2142"/>
      <c r="N210" s="1594"/>
      <c r="O210" s="2142"/>
      <c r="P210" s="2157"/>
      <c r="Q210" s="1794"/>
      <c r="R210" s="2142"/>
      <c r="S210" s="2142"/>
      <c r="T210" s="1862"/>
      <c r="U210" s="2142"/>
      <c r="V210" s="2157"/>
      <c r="W210" s="1597"/>
      <c r="X210" s="2142"/>
      <c r="Y210" s="2142"/>
      <c r="Z210" s="1594"/>
      <c r="AA210" s="2142"/>
      <c r="AB210" s="2157"/>
      <c r="AC210" s="1598"/>
      <c r="AD210" s="2142"/>
      <c r="AE210" s="2142"/>
      <c r="AF210" s="1792"/>
      <c r="AG210" s="1792"/>
      <c r="AH210" s="2181"/>
      <c r="AI210" s="2182"/>
    </row>
    <row s="1854" customFormat="1" customHeight="1" ht="15">
      <c r="D211" s="2527"/>
      <c r="E211" s="2203"/>
      <c r="F211" s="2203"/>
      <c r="G211" s="2183"/>
      <c r="H211" s="1604"/>
      <c r="I211" s="2186"/>
      <c r="J211" s="2157"/>
      <c r="K211" s="1614"/>
      <c r="L211" s="2142"/>
      <c r="M211" s="2142"/>
      <c r="N211" s="1594"/>
      <c r="O211" s="2142"/>
      <c r="P211" s="2157"/>
      <c r="Q211" s="1794"/>
      <c r="R211" s="2142"/>
      <c r="S211" s="2142"/>
      <c r="T211" s="1862"/>
      <c r="U211" s="2142"/>
      <c r="V211" s="2157"/>
      <c r="W211" s="1597"/>
      <c r="X211" s="2142"/>
      <c r="Y211" s="2142"/>
      <c r="Z211" s="1790"/>
      <c r="AA211" s="1792"/>
      <c r="AB211" s="2181"/>
      <c r="AC211" s="2181"/>
      <c r="AD211" s="2181"/>
      <c r="AE211" s="2181"/>
      <c r="AF211" s="2181"/>
      <c r="AG211" s="2181"/>
      <c r="AH211" s="2181"/>
      <c r="AI211" s="2182"/>
    </row>
    <row s="1854" customFormat="1" customHeight="1" ht="15">
      <c r="D212" s="2527"/>
      <c r="E212" s="2203"/>
      <c r="F212" s="2203"/>
      <c r="G212" s="2183"/>
      <c r="H212" s="1604"/>
      <c r="I212" s="2186"/>
      <c r="J212" s="2157"/>
      <c r="K212" s="1614"/>
      <c r="L212" s="2142"/>
      <c r="M212" s="2142"/>
      <c r="N212" s="1594"/>
      <c r="O212" s="2142"/>
      <c r="P212" s="2157"/>
      <c r="Q212" s="1794"/>
      <c r="R212" s="2142"/>
      <c r="S212" s="2142"/>
      <c r="T212" s="1863"/>
      <c r="U212" s="1601"/>
      <c r="V212" s="2181"/>
      <c r="W212" s="2181"/>
      <c r="X212" s="2181"/>
      <c r="Y212" s="2181"/>
      <c r="Z212" s="2181"/>
      <c r="AA212" s="2181"/>
      <c r="AB212" s="2181"/>
      <c r="AC212" s="2181"/>
      <c r="AD212" s="2181"/>
      <c r="AE212" s="2181"/>
      <c r="AF212" s="2181"/>
      <c r="AG212" s="2181"/>
      <c r="AH212" s="2181"/>
      <c r="AI212" s="2182"/>
    </row>
    <row s="1854" customFormat="1" customHeight="1" ht="11.25">
      <c r="D213" s="2527"/>
      <c r="E213" s="2203"/>
      <c r="F213" s="2203"/>
      <c r="G213" s="2183"/>
      <c r="H213" s="1605"/>
      <c r="I213" s="2186"/>
      <c r="J213" s="2157"/>
      <c r="K213" s="1614"/>
      <c r="L213" s="2142"/>
      <c r="M213" s="2142"/>
      <c r="N213" s="1792"/>
      <c r="O213" s="1792"/>
      <c r="P213" s="2181"/>
      <c r="Q213" s="2181"/>
      <c r="R213" s="2181"/>
      <c r="S213" s="2181"/>
      <c r="T213" s="2181"/>
      <c r="U213" s="2181"/>
      <c r="V213" s="2181"/>
      <c r="W213" s="2181"/>
      <c r="X213" s="2181"/>
      <c r="Y213" s="2181"/>
      <c r="Z213" s="2181"/>
      <c r="AA213" s="2181"/>
      <c r="AB213" s="2181"/>
      <c r="AC213" s="2181"/>
      <c r="AD213" s="2181"/>
      <c r="AE213" s="2181"/>
      <c r="AF213" s="2181"/>
      <c r="AG213" s="2181"/>
      <c r="AH213" s="2181"/>
      <c r="AI213" s="2182"/>
    </row>
    <row s="1558" customFormat="1" customHeight="1" ht="11.25">
      <c r="D214" s="2527"/>
      <c r="E214" s="2203"/>
      <c r="F214" s="2203"/>
      <c r="G214" s="2188"/>
      <c r="H214" s="1602"/>
      <c r="I214" s="1606"/>
      <c r="J214" s="2191"/>
      <c r="K214" s="2191"/>
      <c r="L214" s="2191"/>
      <c r="M214" s="2191"/>
      <c r="N214" s="2191"/>
      <c r="O214" s="2191"/>
      <c r="P214" s="2191"/>
      <c r="Q214" s="2191"/>
      <c r="R214" s="2191"/>
      <c r="S214" s="2191"/>
      <c r="T214" s="2191"/>
      <c r="U214" s="2191"/>
      <c r="V214" s="2191"/>
      <c r="W214" s="2191"/>
      <c r="X214" s="2191"/>
      <c r="Y214" s="2191"/>
      <c r="Z214" s="2191"/>
      <c r="AA214" s="2191"/>
      <c r="AB214" s="2191"/>
      <c r="AC214" s="2191"/>
      <c r="AD214" s="2191"/>
      <c r="AE214" s="2191"/>
      <c r="AF214" s="2191"/>
      <c r="AG214" s="2191"/>
      <c r="AH214" s="2191"/>
      <c r="AI214" s="2192"/>
      <c r="BK214" s="1578"/>
    </row>
    <row customHeight="1" ht="17.25">
      <c r="A215" s="1854"/>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49EB5B-C4E7-DD1A-D04F-0DE8186116E1}"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4" width="43.140625"/>
    <col min="2" max="2" style="844" width="43.140625" hidden="1"/>
    <col min="3" max="3" style="844" width="43.140625"/>
    <col min="4" max="5" style="844" width="36.421875" customWidth="1"/>
    <col min="6" max="8" style="985" width="36.421875" customWidth="1"/>
  </cols>
  <sheetData>
    <row customHeight="1" ht="9">
      <c r="A1" s="850" t="s">
        <v>2239</v>
      </c>
      <c r="B1" s="850"/>
      <c r="C1" s="986" t="s">
        <v>2240</v>
      </c>
      <c r="D1" s="984" t="s">
        <v>1068</v>
      </c>
      <c r="E1" s="984" t="s">
        <v>1118</v>
      </c>
      <c r="F1" s="984" t="s">
        <v>1171</v>
      </c>
      <c r="G1" s="984" t="s">
        <v>1158</v>
      </c>
      <c r="H1" s="984" t="s">
        <v>1925</v>
      </c>
    </row>
    <row customHeight="1" ht="9">
      <c r="A2" s="987" t="s">
        <v>2241</v>
      </c>
      <c r="B2" s="987"/>
      <c r="C2" s="988" t="str">
        <f>INDEX(TEMPLATE_NUMBER_FORM_LIST,MATCH(TEMPLATE_SPHERE,TEMPLATE_SPHERE_LIST,0))</f>
        <v>16</v>
      </c>
      <c r="D2" s="987" t="s">
        <v>1775</v>
      </c>
      <c r="E2" s="987" t="s">
        <v>169</v>
      </c>
      <c r="F2" s="989" t="s">
        <v>169</v>
      </c>
      <c r="G2" s="987" t="s">
        <v>169</v>
      </c>
      <c r="H2" s="990"/>
    </row>
    <row customHeight="1" ht="63">
      <c r="A3" s="850"/>
      <c r="B3" s="850" t="s">
        <v>119</v>
      </c>
      <c r="C3" s="98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8" t="s">
        <v>2242</v>
      </c>
      <c r="E3" s="9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89"/>
      <c r="G3" s="990"/>
      <c r="H3" s="850"/>
    </row>
    <row customHeight="1" ht="243">
      <c r="A4" s="850" t="s">
        <v>2243</v>
      </c>
      <c r="B4" s="850" t="s">
        <v>103</v>
      </c>
      <c r="C4" s="98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7" t="s">
        <v>2244</v>
      </c>
      <c r="E4" s="98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7"/>
      <c r="G4" s="987"/>
      <c r="H4" s="850" t="s">
        <v>2245</v>
      </c>
    </row>
    <row customHeight="1" ht="117">
      <c r="A5" s="850" t="s">
        <v>2246</v>
      </c>
      <c r="B5" s="850" t="s">
        <v>90</v>
      </c>
      <c r="C5" s="98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0" t="s">
        <v>2247</v>
      </c>
      <c r="E5" s="85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0"/>
      <c r="G5" s="990"/>
      <c r="H5" s="850" t="s">
        <v>2248</v>
      </c>
    </row>
    <row customHeight="1" ht="90">
      <c r="A6" s="850" t="s">
        <v>2249</v>
      </c>
      <c r="B6" s="850" t="s">
        <v>91</v>
      </c>
      <c r="C6" s="98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0"/>
      <c r="G6" s="850"/>
      <c r="H6" s="990"/>
    </row>
    <row customHeight="1" ht="45">
      <c r="A7" s="850" t="s">
        <v>2250</v>
      </c>
      <c r="B7" s="850" t="s">
        <v>120</v>
      </c>
      <c r="C7" s="988" t="str">
        <f>IF(TEMPLATE_SPHERE="HEAT",D7,E7)</f>
        <v>Форма 11. Информация о расходах на капитальный и текущий ремонт основных средств</v>
      </c>
      <c r="D7" s="850" t="s">
        <v>2251</v>
      </c>
      <c r="E7" s="850" t="s">
        <v>2252</v>
      </c>
      <c r="F7" s="990"/>
      <c r="G7" s="990"/>
      <c r="H7" s="990"/>
    </row>
    <row customHeight="1" ht="108">
      <c r="A8" s="850" t="s">
        <v>2253</v>
      </c>
      <c r="B8" s="850" t="s">
        <v>92</v>
      </c>
      <c r="C8" s="98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0" t="s">
        <v>1472</v>
      </c>
      <c r="E8" s="850" t="s">
        <v>2254</v>
      </c>
      <c r="F8" s="990"/>
      <c r="G8" s="990"/>
      <c r="H8" s="990"/>
    </row>
    <row customHeight="1" ht="99">
      <c r="A9" s="850" t="s">
        <v>2255</v>
      </c>
      <c r="B9" s="850"/>
      <c r="C9" s="850" t="s">
        <v>2256</v>
      </c>
      <c r="D9" s="850"/>
      <c r="E9" s="850"/>
      <c r="F9" s="990"/>
      <c r="G9" s="990"/>
      <c r="H9" s="990"/>
    </row>
    <row customHeight="1" ht="126">
      <c r="A10" s="850" t="s">
        <v>2257</v>
      </c>
      <c r="B10" s="850"/>
      <c r="C10" s="850" t="s">
        <v>2258</v>
      </c>
      <c r="D10" s="850"/>
      <c r="E10" s="850"/>
      <c r="F10" s="990"/>
      <c r="G10" s="990"/>
      <c r="H10" s="990"/>
    </row>
    <row customHeight="1" ht="108">
      <c r="A11" s="850" t="s">
        <v>2259</v>
      </c>
      <c r="B11" s="850"/>
      <c r="C11" s="850" t="s">
        <v>2260</v>
      </c>
      <c r="D11" s="850"/>
      <c r="E11" s="850"/>
      <c r="F11" s="990"/>
      <c r="G11" s="990"/>
      <c r="H11" s="990"/>
    </row>
    <row customHeight="1" ht="54">
      <c r="A12" s="850" t="s">
        <v>2261</v>
      </c>
      <c r="B12" s="850"/>
      <c r="C12" s="850" t="s">
        <v>2262</v>
      </c>
      <c r="D12" s="850"/>
      <c r="E12" s="850"/>
      <c r="F12" s="990"/>
      <c r="G12" s="990"/>
      <c r="H12" s="990"/>
    </row>
    <row customHeight="1" ht="45">
      <c r="A13" s="850" t="s">
        <v>2263</v>
      </c>
      <c r="B13" s="850"/>
      <c r="C13" s="850" t="s">
        <v>2264</v>
      </c>
      <c r="D13" s="850"/>
      <c r="E13" s="850"/>
      <c r="F13" s="990"/>
      <c r="G13" s="990"/>
      <c r="H13" s="990"/>
    </row>
    <row customHeight="1" ht="117">
      <c r="A14" s="850" t="s">
        <v>2265</v>
      </c>
      <c r="B14" s="850"/>
      <c r="C14" s="850" t="s">
        <v>2266</v>
      </c>
      <c r="D14" s="850"/>
      <c r="E14" s="850"/>
      <c r="F14" s="990"/>
      <c r="G14" s="990"/>
      <c r="H14" s="990"/>
    </row>
    <row customHeight="1" ht="117">
      <c r="A15" s="850" t="s">
        <v>2267</v>
      </c>
      <c r="B15" s="850"/>
      <c r="C15" s="850" t="s">
        <v>2268</v>
      </c>
      <c r="D15" s="850"/>
      <c r="E15" s="850"/>
      <c r="F15" s="990"/>
      <c r="G15" s="990"/>
      <c r="H15" s="990"/>
    </row>
    <row customHeight="1" ht="63">
      <c r="A16" s="850" t="s">
        <v>2269</v>
      </c>
      <c r="B16" s="850"/>
      <c r="C16" s="850" t="s">
        <v>2270</v>
      </c>
      <c r="D16" s="850"/>
      <c r="E16" s="850"/>
      <c r="F16" s="990"/>
      <c r="G16" s="990"/>
      <c r="H16" s="990"/>
    </row>
    <row customHeight="1" ht="54">
      <c r="A17" s="850" t="s">
        <v>2271</v>
      </c>
      <c r="B17" s="850"/>
      <c r="C17" s="988" t="s">
        <v>2272</v>
      </c>
      <c r="D17" s="850"/>
      <c r="E17" s="850"/>
      <c r="F17" s="990"/>
      <c r="G17" s="990"/>
      <c r="H17" s="990"/>
    </row>
    <row customHeight="1" ht="27">
      <c r="A18" s="850" t="s">
        <v>2273</v>
      </c>
      <c r="B18" s="850"/>
      <c r="C18" s="988" t="s">
        <v>2274</v>
      </c>
      <c r="D18" s="850"/>
      <c r="E18" s="850"/>
      <c r="F18" s="990"/>
      <c r="G18" s="990"/>
      <c r="H18" s="990"/>
    </row>
    <row customHeight="1" ht="54">
      <c r="A19" s="850" t="s">
        <v>2275</v>
      </c>
      <c r="B19" s="850"/>
      <c r="C19" s="988" t="s">
        <v>2276</v>
      </c>
      <c r="D19" s="850"/>
      <c r="E19" s="850"/>
      <c r="F19" s="990"/>
      <c r="G19" s="990"/>
      <c r="H19" s="990"/>
    </row>
    <row customHeight="1" ht="36">
      <c r="A20" s="850" t="s">
        <v>2277</v>
      </c>
      <c r="B20" s="850"/>
      <c r="C20" s="988" t="s">
        <v>2278</v>
      </c>
      <c r="D20" s="850"/>
      <c r="E20" s="850"/>
      <c r="F20" s="990"/>
      <c r="G20" s="990"/>
      <c r="H20" s="990"/>
    </row>
    <row customHeight="1" ht="36">
      <c r="A21" s="850" t="s">
        <v>2279</v>
      </c>
      <c r="B21" s="850"/>
      <c r="C21" s="988" t="s">
        <v>2280</v>
      </c>
      <c r="D21" s="850"/>
      <c r="E21" s="850"/>
      <c r="F21" s="990"/>
      <c r="G21" s="990"/>
      <c r="H21" s="990"/>
    </row>
    <row customHeight="1" ht="27">
      <c r="A22" s="850" t="s">
        <v>2281</v>
      </c>
      <c r="B22" s="850"/>
      <c r="C22" s="988" t="s">
        <v>2282</v>
      </c>
      <c r="D22" s="850"/>
      <c r="E22" s="850"/>
      <c r="F22" s="990"/>
      <c r="G22" s="990"/>
      <c r="H22" s="990"/>
    </row>
    <row customHeight="1" ht="36">
      <c r="A23" s="850" t="s">
        <v>2283</v>
      </c>
      <c r="B23" s="850"/>
      <c r="C23" s="988" t="s">
        <v>2284</v>
      </c>
      <c r="D23" s="850"/>
      <c r="E23" s="850"/>
      <c r="F23" s="990"/>
      <c r="G23" s="990"/>
      <c r="H23" s="990"/>
    </row>
    <row customHeight="1" ht="28.5">
      <c r="A24" s="850" t="s">
        <v>2285</v>
      </c>
      <c r="B24" s="850"/>
      <c r="C24" s="988" t="s">
        <v>2286</v>
      </c>
      <c r="D24" s="850"/>
      <c r="E24" s="850"/>
      <c r="F24" s="990"/>
      <c r="G24" s="990"/>
      <c r="H24" s="990"/>
    </row>
    <row customHeight="1" ht="36">
      <c r="A25" s="850" t="s">
        <v>2287</v>
      </c>
      <c r="B25" s="850"/>
      <c r="C25" s="988" t="s">
        <v>2288</v>
      </c>
      <c r="D25" s="850"/>
      <c r="E25" s="850"/>
      <c r="F25" s="990"/>
      <c r="G25" s="990"/>
      <c r="H25" s="990"/>
    </row>
    <row customHeight="1" ht="27">
      <c r="A26" s="850" t="s">
        <v>2289</v>
      </c>
      <c r="B26" s="850"/>
      <c r="C26" s="988" t="s">
        <v>2290</v>
      </c>
      <c r="D26" s="850"/>
      <c r="E26" s="850"/>
      <c r="F26" s="990"/>
      <c r="G26" s="990"/>
      <c r="H26" s="990"/>
    </row>
    <row customHeight="1" ht="36">
      <c r="A27" s="850" t="s">
        <v>2291</v>
      </c>
      <c r="B27" s="850"/>
      <c r="C27" s="988" t="s">
        <v>2292</v>
      </c>
      <c r="D27" s="850"/>
      <c r="E27" s="850"/>
      <c r="F27" s="990"/>
      <c r="G27" s="990"/>
      <c r="H27" s="990"/>
    </row>
    <row customHeight="1" ht="28.5">
      <c r="A28" s="850" t="s">
        <v>2293</v>
      </c>
      <c r="B28" s="850"/>
      <c r="C28" s="988" t="s">
        <v>2294</v>
      </c>
      <c r="D28" s="850"/>
      <c r="E28" s="850"/>
      <c r="F28" s="990"/>
      <c r="G28" s="990"/>
      <c r="H28" s="990"/>
    </row>
    <row customHeight="1" ht="126">
      <c r="A29" s="850" t="s">
        <v>2295</v>
      </c>
      <c r="B29" s="850" t="s">
        <v>1877</v>
      </c>
      <c r="C29" s="98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0" t="s">
        <v>2296</v>
      </c>
      <c r="E29" s="85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0"/>
      <c r="G29" s="990"/>
      <c r="H29" s="850" t="s">
        <v>2297</v>
      </c>
    </row>
    <row customHeight="1" ht="36">
      <c r="A30" s="850" t="s">
        <v>2298</v>
      </c>
      <c r="B30" s="850"/>
      <c r="C30" s="98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0" t="s">
        <v>2299</v>
      </c>
      <c r="E30" s="85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0"/>
      <c r="G30" s="990"/>
      <c r="H30" s="990"/>
    </row>
    <row customHeight="1" ht="54">
      <c r="A31" s="850" t="s">
        <v>2300</v>
      </c>
      <c r="B31" s="850"/>
      <c r="C31" s="98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0" t="s">
        <v>2301</v>
      </c>
      <c r="E31" s="85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0"/>
      <c r="G31" s="990"/>
      <c r="H31" s="990"/>
    </row>
    <row customHeight="1" ht="198">
      <c r="A32" s="850" t="s">
        <v>2302</v>
      </c>
      <c r="B32" s="850"/>
      <c r="C32" s="98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0" t="s">
        <v>2303</v>
      </c>
      <c r="E32" s="85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0"/>
      <c r="G32" s="990"/>
      <c r="H32" s="850" t="s">
        <v>2304</v>
      </c>
    </row>
    <row customHeight="1" ht="9">
      <c r="A33" s="850"/>
      <c r="B33" s="850"/>
      <c r="C33" s="988"/>
      <c r="D33" s="850"/>
      <c r="E33" s="850"/>
      <c r="F33" s="990"/>
      <c r="G33" s="990"/>
      <c r="H33" s="990"/>
    </row>
    <row customHeight="1" ht="9">
      <c r="A34" s="850"/>
      <c r="B34" s="850" t="s">
        <v>1813</v>
      </c>
      <c r="C34" s="988">
        <f>INDEX(TEMPLATE_NAME_FORM_LIST,B34,MATCH(TEMPLATE_SPHERE,TEMPLATE_SPHERE_LIST,0))</f>
        <v>0</v>
      </c>
      <c r="D34" s="850"/>
      <c r="E34" s="850"/>
      <c r="F34" s="990"/>
      <c r="G34" s="990"/>
      <c r="H34" s="99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1CBA9B7-F5AE-A44D-E68D-D54282B28424}"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4" width="9.140625"/>
    <col min="3" max="7" style="846" width="8.00390625" customWidth="1"/>
    <col min="8" max="12" style="846" width="8.57421875" customWidth="1"/>
    <col min="13" max="14" style="846" width="27.7109375" customWidth="1"/>
    <col min="15" max="19" style="846" width="5.140625" customWidth="1"/>
    <col min="20" max="24" style="846" width="27.7109375" customWidth="1"/>
    <col min="25" max="25" style="1005" width="1.8515625" customWidth="1"/>
    <col min="26" max="26" style="844" width="27.7109375" customWidth="1"/>
    <col min="27" max="27" style="855" width="27.7109375" customWidth="1"/>
    <col min="28" max="29" style="844" width="27.7109375" customWidth="1"/>
    <col min="30" max="30" style="844" width="3.8515625" customWidth="1"/>
    <col min="31" max="34" style="844" width="9.140625"/>
  </cols>
  <sheetData>
    <row s="843" customFormat="1" customHeight="1" ht="18">
      <c r="A1" s="902"/>
      <c r="B1" s="902"/>
      <c r="C1" s="902" t="s">
        <v>2305</v>
      </c>
      <c r="D1" s="902"/>
      <c r="E1" s="902"/>
      <c r="F1" s="902"/>
      <c r="G1" s="902"/>
      <c r="H1" s="902" t="s">
        <v>2306</v>
      </c>
      <c r="I1" s="902"/>
      <c r="J1" s="902"/>
      <c r="K1" s="902"/>
      <c r="L1" s="902"/>
      <c r="M1" s="902" t="s">
        <v>2307</v>
      </c>
      <c r="N1" s="902" t="s">
        <v>2308</v>
      </c>
      <c r="O1" s="2596" t="s">
        <v>2309</v>
      </c>
      <c r="P1" s="2596"/>
      <c r="Q1" s="2596"/>
      <c r="R1" s="2596"/>
      <c r="S1" s="2596"/>
      <c r="T1" s="2596" t="s">
        <v>2307</v>
      </c>
      <c r="U1" s="2596"/>
      <c r="V1" s="2596"/>
      <c r="W1" s="2596"/>
      <c r="X1" s="2596"/>
      <c r="Y1" s="1003"/>
      <c r="Z1" s="2596" t="s">
        <v>2310</v>
      </c>
      <c r="AA1" s="2596"/>
      <c r="AB1" s="2596"/>
      <c r="AC1" s="2596"/>
      <c r="AD1" s="2596"/>
    </row>
    <row customHeight="1" ht="18">
      <c r="A2" s="850"/>
      <c r="B2" s="850"/>
      <c r="C2" s="845" t="s">
        <v>1068</v>
      </c>
      <c r="D2" s="845" t="s">
        <v>1118</v>
      </c>
      <c r="E2" s="845" t="s">
        <v>1171</v>
      </c>
      <c r="F2" s="845" t="s">
        <v>1158</v>
      </c>
      <c r="G2" s="845" t="s">
        <v>1925</v>
      </c>
      <c r="H2" s="847"/>
      <c r="I2" s="847"/>
      <c r="J2" s="847"/>
      <c r="K2" s="847"/>
      <c r="L2" s="847"/>
      <c r="M2" s="847"/>
      <c r="N2" s="847"/>
      <c r="O2" s="845" t="s">
        <v>1068</v>
      </c>
      <c r="P2" s="845" t="s">
        <v>1118</v>
      </c>
      <c r="Q2" s="845" t="s">
        <v>1158</v>
      </c>
      <c r="R2" s="845" t="s">
        <v>1171</v>
      </c>
      <c r="S2" s="845" t="s">
        <v>1925</v>
      </c>
      <c r="T2" s="845" t="s">
        <v>1068</v>
      </c>
      <c r="U2" s="845" t="s">
        <v>1118</v>
      </c>
      <c r="V2" s="845" t="s">
        <v>1158</v>
      </c>
      <c r="W2" s="845" t="s">
        <v>1171</v>
      </c>
      <c r="X2" s="845" t="s">
        <v>1925</v>
      </c>
      <c r="Y2" s="845"/>
      <c r="Z2" s="845" t="s">
        <v>1068</v>
      </c>
      <c r="AA2" s="854" t="s">
        <v>1118</v>
      </c>
      <c r="AB2" s="845" t="s">
        <v>1158</v>
      </c>
      <c r="AC2" s="845" t="s">
        <v>1171</v>
      </c>
      <c r="AD2" s="845" t="s">
        <v>1925</v>
      </c>
    </row>
    <row customHeight="1" ht="162">
      <c r="A3" s="849" t="s">
        <v>27</v>
      </c>
      <c r="B3" s="849"/>
      <c r="C3" s="2600" t="s">
        <v>2311</v>
      </c>
      <c r="D3" s="2601"/>
      <c r="E3" s="2601"/>
      <c r="F3" s="2602"/>
      <c r="G3" s="847"/>
      <c r="H3" s="847"/>
      <c r="I3" s="847"/>
      <c r="J3" s="847"/>
      <c r="K3" s="847"/>
      <c r="L3" s="847"/>
      <c r="M3" s="847"/>
      <c r="N3" s="84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7"/>
      <c r="P3" s="847"/>
      <c r="Q3" s="847"/>
      <c r="R3" s="847"/>
      <c r="S3" s="847"/>
      <c r="T3" s="847"/>
      <c r="U3" s="847"/>
      <c r="V3" s="847"/>
      <c r="W3" s="847"/>
      <c r="X3" s="847"/>
      <c r="Y3" s="1004"/>
      <c r="Z3" s="850" t="s">
        <v>2312</v>
      </c>
      <c r="AA3" s="847" t="s">
        <v>2313</v>
      </c>
      <c r="AB3" s="850" t="s">
        <v>2314</v>
      </c>
      <c r="AC3" s="850" t="s">
        <v>2315</v>
      </c>
      <c r="AD3" s="850"/>
      <c r="AG3" s="850"/>
      <c r="AH3" s="850"/>
    </row>
    <row customHeight="1" ht="9">
      <c r="A4" s="849"/>
      <c r="B4" s="849"/>
      <c r="C4" s="847"/>
      <c r="D4" s="847"/>
      <c r="E4" s="847"/>
      <c r="F4" s="847"/>
      <c r="G4" s="847"/>
      <c r="H4" s="847"/>
      <c r="I4" s="847"/>
      <c r="J4" s="847"/>
      <c r="K4" s="847"/>
      <c r="L4" s="847"/>
      <c r="M4" s="847"/>
      <c r="N4" s="847"/>
      <c r="O4" s="847"/>
      <c r="P4" s="847"/>
      <c r="Q4" s="847"/>
      <c r="R4" s="847"/>
      <c r="S4" s="847"/>
      <c r="T4" s="847"/>
      <c r="U4" s="847"/>
      <c r="V4" s="847"/>
      <c r="W4" s="847"/>
      <c r="X4" s="847"/>
      <c r="Y4" s="1004"/>
      <c r="Z4" s="850"/>
      <c r="AA4" s="853"/>
      <c r="AB4" s="850"/>
      <c r="AC4" s="850"/>
      <c r="AD4" s="850"/>
    </row>
    <row customHeight="1" ht="9">
      <c r="A5" s="849"/>
      <c r="B5" s="849"/>
      <c r="C5" s="847"/>
      <c r="D5" s="847"/>
      <c r="E5" s="847"/>
      <c r="F5" s="847"/>
      <c r="G5" s="847"/>
      <c r="H5" s="847"/>
      <c r="I5" s="847"/>
      <c r="J5" s="847"/>
      <c r="K5" s="847"/>
      <c r="L5" s="847"/>
      <c r="M5" s="847"/>
      <c r="N5" s="847"/>
      <c r="O5" s="847"/>
      <c r="P5" s="847"/>
      <c r="Q5" s="847"/>
      <c r="R5" s="847"/>
      <c r="S5" s="847"/>
      <c r="T5" s="847"/>
      <c r="U5" s="847"/>
      <c r="V5" s="847"/>
      <c r="W5" s="847"/>
      <c r="X5" s="847"/>
      <c r="Y5" s="1004"/>
      <c r="Z5" s="850"/>
      <c r="AA5" s="853"/>
      <c r="AB5" s="850"/>
      <c r="AC5" s="850"/>
      <c r="AD5" s="850"/>
    </row>
    <row customHeight="1" ht="9">
      <c r="A6" s="849"/>
      <c r="B6" s="849"/>
      <c r="C6" s="847"/>
      <c r="D6" s="847"/>
      <c r="E6" s="847"/>
      <c r="F6" s="847"/>
      <c r="G6" s="847"/>
      <c r="H6" s="847"/>
      <c r="I6" s="847"/>
      <c r="J6" s="847"/>
      <c r="K6" s="847"/>
      <c r="L6" s="847"/>
      <c r="M6" s="847"/>
      <c r="N6" s="847"/>
      <c r="O6" s="847"/>
      <c r="P6" s="847"/>
      <c r="Q6" s="847"/>
      <c r="R6" s="847"/>
      <c r="S6" s="847"/>
      <c r="T6" s="847"/>
      <c r="U6" s="847"/>
      <c r="V6" s="847"/>
      <c r="W6" s="847"/>
      <c r="X6" s="847"/>
      <c r="Y6" s="1004"/>
      <c r="Z6" s="850"/>
      <c r="AA6" s="853"/>
      <c r="AB6" s="850"/>
      <c r="AC6" s="850"/>
      <c r="AD6" s="850"/>
    </row>
    <row customHeight="1" ht="9">
      <c r="A7" s="849"/>
      <c r="B7" s="849"/>
      <c r="C7" s="847"/>
      <c r="D7" s="847"/>
      <c r="E7" s="847"/>
      <c r="F7" s="847"/>
      <c r="G7" s="847"/>
      <c r="H7" s="847"/>
      <c r="I7" s="847"/>
      <c r="J7" s="847"/>
      <c r="K7" s="847"/>
      <c r="L7" s="847"/>
      <c r="M7" s="847"/>
      <c r="N7" s="847"/>
      <c r="O7" s="847"/>
      <c r="P7" s="847"/>
      <c r="Q7" s="847"/>
      <c r="R7" s="847"/>
      <c r="S7" s="847"/>
      <c r="T7" s="847"/>
      <c r="U7" s="847"/>
      <c r="V7" s="847"/>
      <c r="W7" s="847"/>
      <c r="X7" s="847"/>
      <c r="Y7" s="1004"/>
      <c r="Z7" s="850"/>
      <c r="AA7" s="853"/>
      <c r="AB7" s="850"/>
      <c r="AC7" s="850"/>
      <c r="AD7" s="850"/>
    </row>
    <row customHeight="1" ht="9">
      <c r="A8" s="849"/>
      <c r="B8" s="849"/>
      <c r="C8" s="847"/>
      <c r="D8" s="847"/>
      <c r="E8" s="847"/>
      <c r="F8" s="847"/>
      <c r="G8" s="847"/>
      <c r="H8" s="847"/>
      <c r="I8" s="847"/>
      <c r="J8" s="847"/>
      <c r="K8" s="847"/>
      <c r="L8" s="847"/>
      <c r="M8" s="847"/>
      <c r="N8" s="847"/>
      <c r="O8" s="847"/>
      <c r="P8" s="847"/>
      <c r="Q8" s="847"/>
      <c r="R8" s="847"/>
      <c r="S8" s="847"/>
      <c r="T8" s="847"/>
      <c r="U8" s="847"/>
      <c r="V8" s="847"/>
      <c r="W8" s="847"/>
      <c r="X8" s="847"/>
      <c r="Y8" s="1004"/>
      <c r="Z8" s="850"/>
      <c r="AA8" s="853"/>
      <c r="AB8" s="850"/>
      <c r="AC8" s="850"/>
      <c r="AD8" s="850"/>
    </row>
    <row customHeight="1" ht="9">
      <c r="A9" s="849"/>
      <c r="B9" s="849"/>
      <c r="C9" s="847"/>
      <c r="D9" s="847"/>
      <c r="E9" s="847"/>
      <c r="F9" s="847"/>
      <c r="G9" s="847"/>
      <c r="H9" s="847"/>
      <c r="I9" s="847"/>
      <c r="J9" s="847"/>
      <c r="K9" s="847"/>
      <c r="L9" s="847"/>
      <c r="M9" s="847"/>
      <c r="N9" s="847"/>
      <c r="O9" s="847"/>
      <c r="P9" s="847"/>
      <c r="Q9" s="847"/>
      <c r="R9" s="847"/>
      <c r="S9" s="847"/>
      <c r="T9" s="847"/>
      <c r="U9" s="847"/>
      <c r="V9" s="847"/>
      <c r="W9" s="847"/>
      <c r="X9" s="847"/>
      <c r="Y9" s="1004"/>
      <c r="Z9" s="850"/>
      <c r="AA9" s="853"/>
      <c r="AB9" s="850"/>
      <c r="AC9" s="850"/>
      <c r="AD9" s="850"/>
    </row>
    <row customHeight="1" ht="9">
      <c r="A10" s="903"/>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row>
    <row customHeight="1" ht="45">
      <c r="A11" s="2597" t="s">
        <v>33</v>
      </c>
      <c r="B11" s="903">
        <v>1</v>
      </c>
      <c r="C11" s="2603" t="s">
        <v>1864</v>
      </c>
      <c r="D11" s="2603" t="s">
        <v>1860</v>
      </c>
      <c r="E11" s="2603" t="s">
        <v>1957</v>
      </c>
      <c r="F11" s="2603" t="s">
        <v>2316</v>
      </c>
      <c r="G11" s="2603"/>
      <c r="H11" s="902" t="s">
        <v>2317</v>
      </c>
      <c r="I11" s="902"/>
      <c r="J11" s="902"/>
      <c r="K11" s="902"/>
      <c r="L11" s="902"/>
      <c r="M11" s="848" t="str">
        <f>IF(TEMPLATE_SPHERE="HEAT",T11,U11)</f>
        <v>Количество поданных заявок</v>
      </c>
      <c r="N11" s="848"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7"/>
      <c r="P11" s="847"/>
      <c r="Q11" s="847"/>
      <c r="R11" s="847"/>
      <c r="S11" s="847"/>
      <c r="T11" s="847" t="s">
        <v>2318</v>
      </c>
      <c r="U11" s="847" t="s">
        <v>2319</v>
      </c>
      <c r="V11" s="847"/>
      <c r="W11" s="847"/>
      <c r="X11" s="847"/>
      <c r="Y11" s="1004"/>
      <c r="Z11" s="850" t="s">
        <v>2320</v>
      </c>
      <c r="AA11" s="85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0"/>
      <c r="AC11" s="850"/>
      <c r="AD11" s="850"/>
    </row>
    <row customHeight="1" ht="45">
      <c r="A12" s="2597"/>
      <c r="B12" s="903">
        <v>2</v>
      </c>
      <c r="C12" s="2604"/>
      <c r="D12" s="2604"/>
      <c r="E12" s="2604"/>
      <c r="F12" s="2604"/>
      <c r="G12" s="2604"/>
      <c r="H12" s="902" t="s">
        <v>2321</v>
      </c>
      <c r="I12" s="902"/>
      <c r="J12" s="902"/>
      <c r="K12" s="902"/>
      <c r="L12" s="902"/>
      <c r="M12" s="848" t="str">
        <f>IF(TEMPLATE_SPHERE="HEAT",T12,U12)</f>
        <v>Количество рассмотренных заявок</v>
      </c>
      <c r="N12" s="848"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7"/>
      <c r="P12" s="847"/>
      <c r="Q12" s="847"/>
      <c r="R12" s="847"/>
      <c r="S12" s="847"/>
      <c r="T12" s="847" t="s">
        <v>2322</v>
      </c>
      <c r="U12" s="847" t="s">
        <v>2323</v>
      </c>
      <c r="V12" s="847"/>
      <c r="W12" s="847"/>
      <c r="X12" s="847"/>
      <c r="Y12" s="1004"/>
      <c r="Z12" s="850" t="s">
        <v>2324</v>
      </c>
      <c r="AA12" s="85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0"/>
      <c r="AC12" s="850"/>
      <c r="AD12" s="850"/>
    </row>
    <row customHeight="1" ht="72">
      <c r="A13" s="2597"/>
      <c r="B13" s="903">
        <v>3</v>
      </c>
      <c r="C13" s="2604"/>
      <c r="D13" s="2604"/>
      <c r="E13" s="2604"/>
      <c r="F13" s="2604"/>
      <c r="G13" s="2604"/>
      <c r="H13" s="2596" t="s">
        <v>2325</v>
      </c>
      <c r="I13" s="902"/>
      <c r="J13" s="902"/>
      <c r="K13" s="902"/>
      <c r="L13" s="902"/>
      <c r="M13" s="84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8" t="str">
        <f>IF(TEMPLATE_SPHERE="HEAT",Z13,AA13)</f>
        <v>Указывается количество заявок с решением об отказе в течение отчетного квартала.</v>
      </c>
      <c r="O13" s="847"/>
      <c r="P13" s="848"/>
      <c r="Q13" s="848"/>
      <c r="R13" s="848"/>
      <c r="S13" s="847"/>
      <c r="T13" s="847" t="s">
        <v>2326</v>
      </c>
      <c r="U13" s="848" t="s">
        <v>2327</v>
      </c>
      <c r="V13" s="848"/>
      <c r="W13" s="848"/>
      <c r="X13" s="847"/>
      <c r="Y13" s="1004"/>
      <c r="Z13" s="850" t="s">
        <v>2328</v>
      </c>
      <c r="AA13" s="85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0"/>
      <c r="AC13" s="850"/>
      <c r="AD13" s="850"/>
    </row>
    <row customHeight="1" ht="45">
      <c r="A14" s="2597"/>
      <c r="B14" s="903">
        <v>4</v>
      </c>
      <c r="C14" s="2604"/>
      <c r="D14" s="2604"/>
      <c r="E14" s="2604"/>
      <c r="F14" s="2604"/>
      <c r="G14" s="2604"/>
      <c r="H14" s="2596"/>
      <c r="I14" s="905"/>
      <c r="J14" s="905"/>
      <c r="K14" s="905"/>
      <c r="L14" s="905"/>
      <c r="M14" s="851" t="str">
        <f>IF(TEMPLATE_SPHERE="HEAT",T14,U14)</f>
        <v>Причины отказа в заключении договора о подключении (технологическом присоединении) к системе теплоснабжения</v>
      </c>
      <c r="N14" s="84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7"/>
      <c r="P14" s="848"/>
      <c r="Q14" s="848"/>
      <c r="R14" s="848"/>
      <c r="S14" s="847"/>
      <c r="T14" s="847" t="s">
        <v>2329</v>
      </c>
      <c r="U14" s="84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8"/>
      <c r="W14" s="848"/>
      <c r="X14" s="847"/>
      <c r="Y14" s="1004"/>
      <c r="Z14" s="850" t="s">
        <v>2330</v>
      </c>
      <c r="AA14" s="853" t="s">
        <v>2330</v>
      </c>
      <c r="AB14" s="850"/>
      <c r="AC14" s="850"/>
      <c r="AD14" s="850"/>
    </row>
    <row customHeight="1" ht="108">
      <c r="A15" s="2597"/>
      <c r="B15" s="903">
        <v>5</v>
      </c>
      <c r="C15" s="2604"/>
      <c r="D15" s="2604"/>
      <c r="E15" s="2604"/>
      <c r="F15" s="2604"/>
      <c r="G15" s="2604"/>
      <c r="H15" s="2598" t="s">
        <v>2331</v>
      </c>
      <c r="I15" s="904"/>
      <c r="J15" s="904"/>
      <c r="K15" s="904"/>
      <c r="L15" s="904"/>
      <c r="M15" s="853" t="str">
        <f>IF(TEMPLATE_SPHERE="HEAT",T15,U15)</f>
        <v>Резерв мощности источников тепловой энергии, входящих в систему теплоснабжения, в течение одного квартала, в том числе:</v>
      </c>
      <c r="N15" s="852"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7"/>
      <c r="P15" s="848"/>
      <c r="Q15" s="848"/>
      <c r="R15" s="848"/>
      <c r="S15" s="847"/>
      <c r="T15" s="847" t="s">
        <v>2332</v>
      </c>
      <c r="U15" s="84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8"/>
      <c r="W15" s="848"/>
      <c r="X15" s="847"/>
      <c r="Y15" s="1004"/>
      <c r="Z15" s="850" t="s">
        <v>2333</v>
      </c>
      <c r="AA15" s="85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0"/>
      <c r="AC15" s="850"/>
      <c r="AD15" s="850"/>
    </row>
    <row customHeight="1" ht="108">
      <c r="A16" s="903"/>
      <c r="B16" s="903">
        <v>6</v>
      </c>
      <c r="C16" s="2605"/>
      <c r="D16" s="2605"/>
      <c r="E16" s="2605"/>
      <c r="F16" s="2605"/>
      <c r="G16" s="2605"/>
      <c r="H16" s="2599"/>
      <c r="I16" s="966"/>
      <c r="J16" s="966"/>
      <c r="K16" s="966"/>
      <c r="L16" s="966"/>
      <c r="M16" s="896"/>
      <c r="N16" s="852"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7"/>
      <c r="P16" s="848"/>
      <c r="Q16" s="848"/>
      <c r="R16" s="848"/>
      <c r="S16" s="847"/>
      <c r="T16" s="847"/>
      <c r="U16" s="848"/>
      <c r="V16" s="848"/>
      <c r="W16" s="848"/>
      <c r="X16" s="847"/>
      <c r="Y16" s="1004"/>
      <c r="Z16" s="850" t="s">
        <v>2333</v>
      </c>
      <c r="AA16" s="85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0"/>
      <c r="AC16" s="850"/>
      <c r="AD16" s="850"/>
    </row>
    <row customHeight="1" ht="9">
      <c r="A17" s="903"/>
      <c r="B17" s="903"/>
      <c r="C17" s="903">
        <v>22</v>
      </c>
      <c r="D17" s="903">
        <v>21</v>
      </c>
      <c r="E17" s="903">
        <v>42</v>
      </c>
      <c r="F17" s="903">
        <v>63</v>
      </c>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row>
    <row customHeight="1" ht="27">
      <c r="A18" s="849" t="s">
        <v>1960</v>
      </c>
      <c r="B18" s="903">
        <v>1</v>
      </c>
      <c r="C18" s="847" t="s">
        <v>2317</v>
      </c>
      <c r="D18" s="971" t="s">
        <v>2317</v>
      </c>
      <c r="E18" s="847" t="s">
        <v>2317</v>
      </c>
      <c r="F18" s="847" t="s">
        <v>2317</v>
      </c>
      <c r="G18" s="847"/>
      <c r="H18" s="1006"/>
      <c r="I18" s="1009">
        <f>INDEX(TEMPLATE_NUMBER_POINT_FHD,B18,MATCH(TEMPLATE_SPHERE,TEMPLATE_SPHERE_LIST_FOR_NOTE,0))</f>
        <v>1</v>
      </c>
      <c r="J18" s="1009" t="str">
        <f>INDEX(TEMPLATE_DATA_POINT_FHD,B18,MATCH(TEMPLATE_SPHERE,TEMPLATE_SPHERE_LIST_FOR_NOTE,0))</f>
        <v>Выручка от регулируемого вида деятельности с распределением по видам деятельности</v>
      </c>
      <c r="K18" s="1009"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8">
        <f>IF(I18=0,"",I18)</f>
        <v>1</v>
      </c>
      <c r="M18" s="848" t="str">
        <f>IF(J18=0,"",J18)</f>
        <v>Выручка от регулируемого вида деятельности с распределением по видам деятельности</v>
      </c>
      <c r="N18" s="848" t="str">
        <f>IF(K18=0,"",K18)</f>
        <v>Указывается выручка от регулируемого вида деятельности с распределением по видам деятельности.</v>
      </c>
      <c r="O18" s="961">
        <v>1</v>
      </c>
      <c r="P18" s="961">
        <v>1</v>
      </c>
      <c r="Q18" s="961">
        <v>1</v>
      </c>
      <c r="R18" s="961">
        <v>1</v>
      </c>
      <c r="S18" s="961"/>
      <c r="T18" s="968" t="s">
        <v>2334</v>
      </c>
      <c r="U18" s="850" t="s">
        <v>2335</v>
      </c>
      <c r="V18" s="850" t="s">
        <v>2336</v>
      </c>
      <c r="W18" s="850" t="s">
        <v>2337</v>
      </c>
      <c r="X18" s="847"/>
      <c r="Y18" s="1004"/>
      <c r="Z18" s="850" t="s">
        <v>2338</v>
      </c>
      <c r="AA18" s="853" t="s">
        <v>2339</v>
      </c>
      <c r="AB18" s="853" t="s">
        <v>2339</v>
      </c>
      <c r="AC18" s="853" t="s">
        <v>2339</v>
      </c>
      <c r="AD18" s="850"/>
    </row>
    <row customHeight="1" ht="36">
      <c r="A19" s="849"/>
      <c r="B19" s="903">
        <v>2</v>
      </c>
      <c r="C19" s="847" t="s">
        <v>2321</v>
      </c>
      <c r="D19" s="971" t="s">
        <v>2321</v>
      </c>
      <c r="E19" s="847" t="s">
        <v>2321</v>
      </c>
      <c r="F19" s="847" t="s">
        <v>2321</v>
      </c>
      <c r="G19" s="847"/>
      <c r="H19" s="1006"/>
      <c r="I19" s="1009">
        <f>INDEX(TEMPLATE_NUMBER_POINT_FHD,B19,MATCH(TEMPLATE_SPHERE,TEMPLATE_SPHERE_LIST_FOR_NOTE,0))</f>
        <v>2</v>
      </c>
      <c r="J19" s="1009"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09" t="str">
        <f>INDEX(TEMPLATE_NOTE_POINT_FHD,B19,MATCH(TEMPLATE_SPHERE,TEMPLATE_SPHERE_LIST_FOR_NOTE,0))</f>
        <v>Указывается суммарная себестоимость производимых товаров.</v>
      </c>
      <c r="L19" s="848">
        <f>IF(I19=0,"",I19)</f>
        <v>2</v>
      </c>
      <c r="M19" s="848" t="str">
        <f>IF(J19=0,"",J19)</f>
        <v>Себестоимость производимых товаров (оказываемых услуг) по регулируемому виду деятельности, включая:</v>
      </c>
      <c r="N19" s="848" t="str">
        <f>IF(K19=0,"",K19)</f>
        <v>Указывается суммарная себестоимость производимых товаров.</v>
      </c>
      <c r="O19" s="961">
        <v>2</v>
      </c>
      <c r="P19" s="961">
        <v>2</v>
      </c>
      <c r="Q19" s="961">
        <v>2</v>
      </c>
      <c r="R19" s="961">
        <v>2</v>
      </c>
      <c r="S19" s="961"/>
      <c r="T19" s="968" t="s">
        <v>2340</v>
      </c>
      <c r="U19" s="850" t="s">
        <v>2341</v>
      </c>
      <c r="V19" s="850" t="s">
        <v>2342</v>
      </c>
      <c r="W19" s="850" t="s">
        <v>2343</v>
      </c>
      <c r="X19" s="847"/>
      <c r="Y19" s="1004"/>
      <c r="Z19" s="850" t="s">
        <v>2344</v>
      </c>
      <c r="AA19" s="853" t="s">
        <v>2344</v>
      </c>
      <c r="AB19" s="853" t="s">
        <v>2344</v>
      </c>
      <c r="AC19" s="853" t="s">
        <v>2344</v>
      </c>
      <c r="AD19" s="850"/>
    </row>
    <row customHeight="1" ht="27">
      <c r="A20" s="849"/>
      <c r="B20" s="903">
        <v>3</v>
      </c>
      <c r="C20" s="847">
        <v>1</v>
      </c>
      <c r="D20" s="971"/>
      <c r="E20" s="847"/>
      <c r="F20" s="847"/>
      <c r="G20" s="847"/>
      <c r="H20" s="1006"/>
      <c r="I20" s="1009" t="str">
        <f>INDEX(TEMPLATE_NUMBER_POINT_FHD,B20,MATCH(TEMPLATE_SPHERE,TEMPLATE_SPHERE_LIST_FOR_NOTE,0))</f>
        <v>2.1</v>
      </c>
      <c r="J20" s="1009" t="str">
        <f>INDEX(TEMPLATE_DATA_POINT_FHD,B20,MATCH(TEMPLATE_SPHERE,TEMPLATE_SPHERE_LIST_FOR_NOTE,0))</f>
        <v>Расходы на приобретаемую тепловую энергию (мощность), теплоноситель</v>
      </c>
      <c r="K20" s="1009">
        <f>INDEX(TEMPLATE_NOTE_POINT_FHD,B20,MATCH(TEMPLATE_SPHERE,TEMPLATE_SPHERE_LIST_FOR_NOTE,0))</f>
        <v>0</v>
      </c>
      <c r="L20" s="848" t="str">
        <f>IF(I20=0,"",I20)</f>
        <v>2.1</v>
      </c>
      <c r="M20" s="848" t="str">
        <f>IF(J20=0,"",J20)</f>
        <v>Расходы на приобретаемую тепловую энергию (мощность), теплоноситель</v>
      </c>
      <c r="N20" s="848" t="str">
        <f>IF(K20=0,"",K20)</f>
        <v/>
      </c>
      <c r="O20" s="961" t="s">
        <v>969</v>
      </c>
      <c r="P20" s="961" t="s">
        <v>969</v>
      </c>
      <c r="Q20" s="961" t="s">
        <v>969</v>
      </c>
      <c r="R20" s="961" t="s">
        <v>969</v>
      </c>
      <c r="S20" s="961"/>
      <c r="T20" s="968" t="s">
        <v>2345</v>
      </c>
      <c r="U20" s="850" t="s">
        <v>2346</v>
      </c>
      <c r="V20" s="850" t="s">
        <v>2347</v>
      </c>
      <c r="W20" s="850" t="s">
        <v>2348</v>
      </c>
      <c r="X20" s="847"/>
      <c r="Y20" s="1004"/>
      <c r="Z20" s="850"/>
      <c r="AA20" s="853"/>
      <c r="AB20" s="850"/>
      <c r="AC20" s="850"/>
      <c r="AD20" s="850"/>
    </row>
    <row customHeight="1" ht="36">
      <c r="A21" s="849"/>
      <c r="B21" s="903">
        <v>4</v>
      </c>
      <c r="C21" s="847">
        <v>2</v>
      </c>
      <c r="D21" s="971"/>
      <c r="E21" s="847"/>
      <c r="F21" s="847"/>
      <c r="G21" s="847"/>
      <c r="H21" s="1006"/>
      <c r="I21" s="1009" t="str">
        <f>INDEX(TEMPLATE_NUMBER_POINT_FHD,B21,MATCH(TEMPLATE_SPHERE,TEMPLATE_SPHERE_LIST_FOR_NOTE,0))</f>
        <v>2.2</v>
      </c>
      <c r="J21" s="1009"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09" t="str">
        <f>INDEX(TEMPLATE_NOTE_POINT_FHD,B21,MATCH(TEMPLATE_SPHERE,TEMPLATE_SPHERE_LIST_FOR_NOTE,0))</f>
        <v>Указываются суммарные расходы на приобретение топлива всех видов.</v>
      </c>
      <c r="L21" s="848" t="str">
        <f>IF(I21=0,"",I21)</f>
        <v>2.2</v>
      </c>
      <c r="M21" s="848"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8" t="str">
        <f>IF(K21=0,"",K21)</f>
        <v>Указываются суммарные расходы на приобретение топлива всех видов.</v>
      </c>
      <c r="O21" s="961" t="s">
        <v>325</v>
      </c>
      <c r="P21" s="961"/>
      <c r="Q21" s="961"/>
      <c r="R21" s="961"/>
      <c r="S21" s="961"/>
      <c r="T21" s="968" t="s">
        <v>2349</v>
      </c>
      <c r="U21" s="850"/>
      <c r="V21" s="850"/>
      <c r="W21" s="850"/>
      <c r="X21" s="847"/>
      <c r="Y21" s="1004"/>
      <c r="Z21" s="850" t="s">
        <v>2350</v>
      </c>
      <c r="AA21" s="853"/>
      <c r="AB21" s="850"/>
      <c r="AC21" s="850"/>
      <c r="AD21" s="850"/>
    </row>
    <row customHeight="1" ht="36">
      <c r="A22" s="849"/>
      <c r="B22" s="903">
        <v>5</v>
      </c>
      <c r="C22" s="847">
        <v>3</v>
      </c>
      <c r="D22" s="971"/>
      <c r="E22" s="847"/>
      <c r="F22" s="847"/>
      <c r="G22" s="895"/>
      <c r="H22" s="962"/>
      <c r="I22" s="1009">
        <f>INDEX(TEMPLATE_NUMBER_POINT_FHD,B22,MATCH(TEMPLATE_SPHERE,TEMPLATE_SPHERE_LIST_FOR_NOTE,0))</f>
        <v>0</v>
      </c>
      <c r="J22" s="1009">
        <f>INDEX(TEMPLATE_DATA_POINT_FHD,B22,MATCH(TEMPLATE_SPHERE,TEMPLATE_SPHERE_LIST_FOR_NOTE,0))</f>
        <v>0</v>
      </c>
      <c r="K22" s="1009">
        <f>INDEX(TEMPLATE_NOTE_POINT_FHD,B22,MATCH(TEMPLATE_SPHERE,TEMPLATE_SPHERE_LIST_FOR_NOTE,0))</f>
        <v>0</v>
      </c>
      <c r="L22" s="848" t="str">
        <f>IF(I22=0,"",I22)</f>
        <v/>
      </c>
      <c r="M22" s="848" t="str">
        <f>IF(J22=0,"",J22)</f>
        <v/>
      </c>
      <c r="N22" s="848" t="str">
        <f>IF(K22=0,"",K22)</f>
        <v/>
      </c>
      <c r="O22" s="961"/>
      <c r="P22" s="961"/>
      <c r="Q22" s="961" t="s">
        <v>325</v>
      </c>
      <c r="R22" s="961"/>
      <c r="S22" s="961"/>
      <c r="T22" s="968"/>
      <c r="U22" s="850"/>
      <c r="V22" s="850" t="s">
        <v>2351</v>
      </c>
      <c r="W22" s="850"/>
      <c r="X22" s="847"/>
      <c r="Y22" s="1004"/>
      <c r="Z22" s="850"/>
      <c r="AA22" s="853"/>
      <c r="AB22" s="850"/>
      <c r="AC22" s="850"/>
      <c r="AD22" s="850"/>
    </row>
    <row customHeight="1" ht="27">
      <c r="A23" s="849"/>
      <c r="B23" s="903">
        <v>6</v>
      </c>
      <c r="C23" s="847">
        <v>4</v>
      </c>
      <c r="D23" s="971"/>
      <c r="E23" s="847"/>
      <c r="F23" s="847"/>
      <c r="G23" s="895"/>
      <c r="H23" s="962"/>
      <c r="I23" s="1009">
        <f>INDEX(TEMPLATE_NUMBER_POINT_FHD,B23,MATCH(TEMPLATE_SPHERE,TEMPLATE_SPHERE_LIST_FOR_NOTE,0))</f>
        <v>0</v>
      </c>
      <c r="J23" s="1009">
        <f>INDEX(TEMPLATE_DATA_POINT_FHD,B23,MATCH(TEMPLATE_SPHERE,TEMPLATE_SPHERE_LIST_FOR_NOTE,0))</f>
        <v>0</v>
      </c>
      <c r="K23" s="1009">
        <f>INDEX(TEMPLATE_NOTE_POINT_FHD,B23,MATCH(TEMPLATE_SPHERE,TEMPLATE_SPHERE_LIST_FOR_NOTE,0))</f>
        <v>0</v>
      </c>
      <c r="L23" s="848" t="str">
        <f>IF(I23=0,"",I23)</f>
        <v/>
      </c>
      <c r="M23" s="848" t="str">
        <f>IF(J23=0,"",J23)</f>
        <v/>
      </c>
      <c r="N23" s="848" t="str">
        <f>IF(K23=0,"",K23)</f>
        <v/>
      </c>
      <c r="O23" s="961"/>
      <c r="P23" s="961"/>
      <c r="Q23" s="961" t="s">
        <v>328</v>
      </c>
      <c r="R23" s="961"/>
      <c r="S23" s="961"/>
      <c r="T23" s="968"/>
      <c r="U23" s="850"/>
      <c r="V23" s="850" t="s">
        <v>2352</v>
      </c>
      <c r="W23" s="850"/>
      <c r="X23" s="847"/>
      <c r="Y23" s="1004"/>
      <c r="Z23" s="850"/>
      <c r="AA23" s="853"/>
      <c r="AB23" s="850"/>
      <c r="AC23" s="850"/>
      <c r="AD23" s="850"/>
    </row>
    <row customHeight="1" ht="36">
      <c r="A24" s="849"/>
      <c r="B24" s="903">
        <v>7</v>
      </c>
      <c r="C24" s="847">
        <v>5</v>
      </c>
      <c r="D24" s="971"/>
      <c r="E24" s="847"/>
      <c r="F24" s="847"/>
      <c r="G24" s="895"/>
      <c r="H24" s="962"/>
      <c r="I24" s="1009">
        <f>INDEX(TEMPLATE_NUMBER_POINT_FHD,B24,MATCH(TEMPLATE_SPHERE,TEMPLATE_SPHERE_LIST_FOR_NOTE,0))</f>
        <v>0</v>
      </c>
      <c r="J24" s="1009">
        <f>INDEX(TEMPLATE_DATA_POINT_FHD,B24,MATCH(TEMPLATE_SPHERE,TEMPLATE_SPHERE_LIST_FOR_NOTE,0))</f>
        <v>0</v>
      </c>
      <c r="K24" s="1009">
        <f>INDEX(TEMPLATE_NOTE_POINT_FHD,B24,MATCH(TEMPLATE_SPHERE,TEMPLATE_SPHERE_LIST_FOR_NOTE,0))</f>
        <v>0</v>
      </c>
      <c r="L24" s="848" t="str">
        <f>IF(I24=0,"",I24)</f>
        <v/>
      </c>
      <c r="M24" s="848" t="str">
        <f>IF(J24=0,"",J24)</f>
        <v/>
      </c>
      <c r="N24" s="848" t="str">
        <f>IF(K24=0,"",K24)</f>
        <v/>
      </c>
      <c r="O24" s="961"/>
      <c r="P24" s="961"/>
      <c r="Q24" s="961" t="s">
        <v>989</v>
      </c>
      <c r="R24" s="961"/>
      <c r="S24" s="961"/>
      <c r="T24" s="968"/>
      <c r="U24" s="850"/>
      <c r="V24" s="850" t="s">
        <v>2353</v>
      </c>
      <c r="W24" s="850"/>
      <c r="X24" s="847"/>
      <c r="Y24" s="1004"/>
      <c r="Z24" s="850"/>
      <c r="AA24" s="853"/>
      <c r="AB24" s="850"/>
      <c r="AC24" s="850"/>
      <c r="AD24" s="850"/>
    </row>
    <row customHeight="1" ht="36">
      <c r="A25" s="849"/>
      <c r="B25" s="903">
        <v>8</v>
      </c>
      <c r="C25" s="847">
        <v>6</v>
      </c>
      <c r="D25" s="971"/>
      <c r="E25" s="847"/>
      <c r="F25" s="847"/>
      <c r="G25" s="895"/>
      <c r="H25" s="962"/>
      <c r="I25" s="1009" t="str">
        <f>INDEX(TEMPLATE_NUMBER_POINT_FHD,B25,MATCH(TEMPLATE_SPHERE,TEMPLATE_SPHERE_LIST_FOR_NOTE,0))</f>
        <v>2.3</v>
      </c>
      <c r="J25" s="10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9">
        <f>INDEX(TEMPLATE_NOTE_POINT_FHD,B25,MATCH(TEMPLATE_SPHERE,TEMPLATE_SPHERE_LIST_FOR_NOTE,0))</f>
        <v>0</v>
      </c>
      <c r="L25" s="848" t="str">
        <f>IF(I25=0,"",I25)</f>
        <v>2.3</v>
      </c>
      <c r="M25" s="848" t="str">
        <f>IF(J25=0,"",J25)</f>
        <v>Расходы на приобретаемую электрическую энергию (мощность), используемую в технологическом процессе</v>
      </c>
      <c r="N25" s="848" t="str">
        <f>IF(K25=0,"",K25)</f>
        <v/>
      </c>
      <c r="O25" s="961" t="s">
        <v>328</v>
      </c>
      <c r="P25" s="961" t="s">
        <v>325</v>
      </c>
      <c r="Q25" s="961" t="s">
        <v>996</v>
      </c>
      <c r="R25" s="961" t="s">
        <v>325</v>
      </c>
      <c r="S25" s="961"/>
      <c r="T25" s="968" t="s">
        <v>2354</v>
      </c>
      <c r="U25" s="850" t="s">
        <v>2354</v>
      </c>
      <c r="V25" s="850" t="s">
        <v>2354</v>
      </c>
      <c r="W25" s="850" t="s">
        <v>2354</v>
      </c>
      <c r="X25" s="847"/>
      <c r="Y25" s="1004"/>
      <c r="Z25" s="850"/>
      <c r="AA25" s="853"/>
      <c r="AB25" s="850"/>
      <c r="AC25" s="850"/>
      <c r="AD25" s="850"/>
    </row>
    <row customHeight="1" ht="18">
      <c r="A26" s="849"/>
      <c r="B26" s="903">
        <v>9</v>
      </c>
      <c r="C26" s="847" t="s">
        <v>913</v>
      </c>
      <c r="D26" s="971"/>
      <c r="E26" s="847"/>
      <c r="F26" s="847"/>
      <c r="G26" s="895"/>
      <c r="H26" s="962"/>
      <c r="I26" s="1009" t="str">
        <f>INDEX(TEMPLATE_NUMBER_POINT_FHD,B26,MATCH(TEMPLATE_SPHERE,TEMPLATE_SPHERE_LIST_FOR_NOTE,0))</f>
        <v>2.3.1</v>
      </c>
      <c r="J26" s="1009" t="str">
        <f>INDEX(TEMPLATE_DATA_POINT_FHD,B26,MATCH(TEMPLATE_SPHERE,TEMPLATE_SPHERE_LIST_FOR_NOTE,0))</f>
        <v>Средневзвешенная стоимость 1 кВт.ч (с учетом мощности)</v>
      </c>
      <c r="K26" s="1009">
        <f>INDEX(TEMPLATE_NOTE_POINT_FHD,B26,MATCH(TEMPLATE_SPHERE,TEMPLATE_SPHERE_LIST_FOR_NOTE,0))</f>
        <v>0</v>
      </c>
      <c r="L26" s="848" t="str">
        <f>IF(I26=0,"",I26)</f>
        <v>2.3.1</v>
      </c>
      <c r="M26" s="848" t="str">
        <f>IF(J26=0,"",J26)</f>
        <v>Средневзвешенная стоимость 1 кВт.ч (с учетом мощности)</v>
      </c>
      <c r="N26" s="848" t="str">
        <f>IF(K26=0,"",K26)</f>
        <v/>
      </c>
      <c r="O26" s="961" t="s">
        <v>985</v>
      </c>
      <c r="P26" s="961" t="s">
        <v>979</v>
      </c>
      <c r="Q26" s="961" t="s">
        <v>2355</v>
      </c>
      <c r="R26" s="961" t="s">
        <v>979</v>
      </c>
      <c r="S26" s="961"/>
      <c r="T26" s="968"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8" t="s">
        <v>2356</v>
      </c>
      <c r="V26" s="968" t="s">
        <v>2356</v>
      </c>
      <c r="W26" s="968" t="s">
        <v>2356</v>
      </c>
      <c r="X26" s="847"/>
      <c r="Y26" s="1004"/>
      <c r="Z26" s="850"/>
      <c r="AA26" s="853"/>
      <c r="AB26" s="850"/>
      <c r="AC26" s="850"/>
      <c r="AD26" s="850"/>
    </row>
    <row customHeight="1" ht="18">
      <c r="A27" s="849"/>
      <c r="B27" s="903">
        <v>10</v>
      </c>
      <c r="C27" s="847" t="s">
        <v>917</v>
      </c>
      <c r="D27" s="971"/>
      <c r="E27" s="847"/>
      <c r="F27" s="847"/>
      <c r="G27" s="895"/>
      <c r="H27" s="962"/>
      <c r="I27" s="1009" t="str">
        <f>INDEX(TEMPLATE_NUMBER_POINT_FHD,B27,MATCH(TEMPLATE_SPHERE,TEMPLATE_SPHERE_LIST_FOR_NOTE,0))</f>
        <v>2.3.2</v>
      </c>
      <c r="J27" s="1009" t="str">
        <f>INDEX(TEMPLATE_DATA_POINT_FHD,B27,MATCH(TEMPLATE_SPHERE,TEMPLATE_SPHERE_LIST_FOR_NOTE,0))</f>
        <v>Объём приобретения электрической энергии</v>
      </c>
      <c r="K27" s="1009">
        <f>INDEX(TEMPLATE_NOTE_POINT_FHD,B27,MATCH(TEMPLATE_SPHERE,TEMPLATE_SPHERE_LIST_FOR_NOTE,0))</f>
        <v>0</v>
      </c>
      <c r="L27" s="848" t="str">
        <f>IF(I27=0,"",I27)</f>
        <v>2.3.2</v>
      </c>
      <c r="M27" s="848" t="str">
        <f>IF(J27=0,"",J27)</f>
        <v>Объём приобретения электрической энергии</v>
      </c>
      <c r="N27" s="848" t="str">
        <f>IF(K27=0,"",K27)</f>
        <v/>
      </c>
      <c r="O27" s="961" t="s">
        <v>987</v>
      </c>
      <c r="P27" s="961" t="s">
        <v>981</v>
      </c>
      <c r="Q27" s="961" t="s">
        <v>2357</v>
      </c>
      <c r="R27" s="961" t="s">
        <v>981</v>
      </c>
      <c r="S27" s="961"/>
      <c r="T27" s="968" t="s">
        <v>2358</v>
      </c>
      <c r="U27" s="968" t="s">
        <v>2358</v>
      </c>
      <c r="V27" s="968" t="s">
        <v>2358</v>
      </c>
      <c r="W27" s="968" t="s">
        <v>2358</v>
      </c>
      <c r="X27" s="847"/>
      <c r="Y27" s="1004"/>
      <c r="Z27" s="850"/>
      <c r="AA27" s="853"/>
      <c r="AB27" s="850"/>
      <c r="AC27" s="850"/>
      <c r="AD27" s="850"/>
    </row>
    <row customHeight="1" ht="27">
      <c r="A28" s="849"/>
      <c r="B28" s="903">
        <v>11</v>
      </c>
      <c r="C28" s="847">
        <v>7</v>
      </c>
      <c r="D28" s="971"/>
      <c r="E28" s="847"/>
      <c r="F28" s="847"/>
      <c r="G28" s="895"/>
      <c r="H28" s="962"/>
      <c r="I28" s="1009" t="str">
        <f>INDEX(TEMPLATE_NUMBER_POINT_FHD,B28,MATCH(TEMPLATE_SPHERE,TEMPLATE_SPHERE_LIST_FOR_NOTE,0))</f>
        <v>2.4</v>
      </c>
      <c r="J28" s="1009" t="str">
        <f>INDEX(TEMPLATE_DATA_POINT_FHD,B28,MATCH(TEMPLATE_SPHERE,TEMPLATE_SPHERE_LIST_FOR_NOTE,0))</f>
        <v>Расходы на приобретение холодной воды, используемой в технологическом процессе</v>
      </c>
      <c r="K28" s="1009">
        <f>INDEX(TEMPLATE_NOTE_POINT_FHD,B28,MATCH(TEMPLATE_SPHERE,TEMPLATE_SPHERE_LIST_FOR_NOTE,0))</f>
        <v>0</v>
      </c>
      <c r="L28" s="848" t="str">
        <f>IF(I28=0,"",I28)</f>
        <v>2.4</v>
      </c>
      <c r="M28" s="848" t="str">
        <f>IF(J28=0,"",J28)</f>
        <v>Расходы на приобретение холодной воды, используемой в технологическом процессе</v>
      </c>
      <c r="N28" s="848" t="str">
        <f>IF(K28=0,"",K28)</f>
        <v/>
      </c>
      <c r="O28" s="961" t="s">
        <v>989</v>
      </c>
      <c r="P28" s="961"/>
      <c r="Q28" s="961"/>
      <c r="R28" s="961"/>
      <c r="S28" s="961"/>
      <c r="T28" s="968" t="s">
        <v>2359</v>
      </c>
      <c r="U28" s="850"/>
      <c r="V28" s="850"/>
      <c r="W28" s="850"/>
      <c r="X28" s="847"/>
      <c r="Y28" s="1004"/>
      <c r="Z28" s="850"/>
      <c r="AA28" s="853"/>
      <c r="AB28" s="850"/>
      <c r="AC28" s="850"/>
      <c r="AD28" s="850"/>
    </row>
    <row customHeight="1" ht="27">
      <c r="A29" s="849"/>
      <c r="B29" s="903">
        <v>12</v>
      </c>
      <c r="C29" s="847">
        <v>8</v>
      </c>
      <c r="D29" s="971"/>
      <c r="E29" s="847"/>
      <c r="F29" s="847"/>
      <c r="G29" s="895"/>
      <c r="H29" s="962"/>
      <c r="I29" s="1009" t="str">
        <f>INDEX(TEMPLATE_NUMBER_POINT_FHD,B29,MATCH(TEMPLATE_SPHERE,TEMPLATE_SPHERE_LIST_FOR_NOTE,0))</f>
        <v>2.5</v>
      </c>
      <c r="J29" s="1009" t="str">
        <f>INDEX(TEMPLATE_DATA_POINT_FHD,B29,MATCH(TEMPLATE_SPHERE,TEMPLATE_SPHERE_LIST_FOR_NOTE,0))</f>
        <v>Расходы на  химические реагенты, используемые в технологическом процессе</v>
      </c>
      <c r="K29" s="1009">
        <f>INDEX(TEMPLATE_NOTE_POINT_FHD,B29,MATCH(TEMPLATE_SPHERE,TEMPLATE_SPHERE_LIST_FOR_NOTE,0))</f>
        <v>0</v>
      </c>
      <c r="L29" s="848" t="str">
        <f>IF(I29=0,"",I29)</f>
        <v>2.5</v>
      </c>
      <c r="M29" s="848" t="str">
        <f>IF(J29=0,"",J29)</f>
        <v>Расходы на  химические реагенты, используемые в технологическом процессе</v>
      </c>
      <c r="N29" s="848" t="str">
        <f>IF(K29=0,"",K29)</f>
        <v/>
      </c>
      <c r="O29" s="961" t="s">
        <v>996</v>
      </c>
      <c r="P29" s="961" t="s">
        <v>328</v>
      </c>
      <c r="Q29" s="961"/>
      <c r="R29" s="961" t="s">
        <v>328</v>
      </c>
      <c r="S29" s="961"/>
      <c r="T29" s="96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0" t="s">
        <v>2360</v>
      </c>
      <c r="V29" s="850"/>
      <c r="W29" s="850" t="s">
        <v>2360</v>
      </c>
      <c r="X29" s="847"/>
      <c r="Y29" s="1004"/>
      <c r="Z29" s="850"/>
      <c r="AA29" s="853"/>
      <c r="AB29" s="850"/>
      <c r="AC29" s="850"/>
      <c r="AD29" s="850"/>
    </row>
    <row customHeight="1" ht="54">
      <c r="A30" s="849"/>
      <c r="B30" s="903">
        <v>13</v>
      </c>
      <c r="C30" s="847">
        <v>9</v>
      </c>
      <c r="D30" s="971"/>
      <c r="E30" s="847"/>
      <c r="F30" s="847"/>
      <c r="G30" s="895"/>
      <c r="H30" s="962"/>
      <c r="I30" s="1009" t="str">
        <f>INDEX(TEMPLATE_NUMBER_POINT_FHD,B30,MATCH(TEMPLATE_SPHERE,TEMPLATE_SPHERE_LIST_FOR_NOTE,0))</f>
        <v>2.6</v>
      </c>
      <c r="J30" s="10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9">
        <f>INDEX(TEMPLATE_NOTE_POINT_FHD,B30,MATCH(TEMPLATE_SPHERE,TEMPLATE_SPHERE_LIST_FOR_NOTE,0))</f>
        <v>0</v>
      </c>
      <c r="L30" s="848" t="str">
        <f>IF(I30=0,"",I30)</f>
        <v>2.6</v>
      </c>
      <c r="M30" s="84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8" t="str">
        <f>IF(K30=0,"",K30)</f>
        <v/>
      </c>
      <c r="O30" s="961" t="s">
        <v>998</v>
      </c>
      <c r="P30" s="961" t="s">
        <v>989</v>
      </c>
      <c r="Q30" s="961" t="s">
        <v>998</v>
      </c>
      <c r="R30" s="961" t="s">
        <v>989</v>
      </c>
      <c r="S30" s="961"/>
      <c r="T30" s="968" t="s">
        <v>2361</v>
      </c>
      <c r="U30" s="850" t="s">
        <v>2361</v>
      </c>
      <c r="V30" s="850" t="s">
        <v>2361</v>
      </c>
      <c r="W30" s="850" t="s">
        <v>2361</v>
      </c>
      <c r="X30" s="847"/>
      <c r="Y30" s="1004"/>
      <c r="Z30" s="850"/>
      <c r="AA30" s="853" t="s">
        <v>2362</v>
      </c>
      <c r="AB30" s="853" t="s">
        <v>2362</v>
      </c>
      <c r="AC30" s="853" t="s">
        <v>2362</v>
      </c>
      <c r="AD30" s="850"/>
    </row>
    <row customHeight="1" ht="18">
      <c r="A31" s="849"/>
      <c r="B31" s="903">
        <v>14</v>
      </c>
      <c r="C31" s="847" t="s">
        <v>2363</v>
      </c>
      <c r="D31" s="971"/>
      <c r="E31" s="847"/>
      <c r="F31" s="847"/>
      <c r="G31" s="895"/>
      <c r="H31" s="962"/>
      <c r="I31" s="1009" t="str">
        <f>INDEX(TEMPLATE_NUMBER_POINT_FHD,B31,MATCH(TEMPLATE_SPHERE,TEMPLATE_SPHERE_LIST_FOR_NOTE,0))</f>
        <v>2.6.1</v>
      </c>
      <c r="J31" s="1009" t="str">
        <f>INDEX(TEMPLATE_DATA_POINT_FHD,B31,MATCH(TEMPLATE_SPHERE,TEMPLATE_SPHERE_LIST_FOR_NOTE,0))</f>
        <v>Расходы на оплату труда основного производственного персонала</v>
      </c>
      <c r="K31" s="1009">
        <f>INDEX(TEMPLATE_NOTE_POINT_FHD,B31,MATCH(TEMPLATE_SPHERE,TEMPLATE_SPHERE_LIST_FOR_NOTE,0))</f>
        <v>0</v>
      </c>
      <c r="L31" s="848" t="str">
        <f>IF(I31=0,"",I31)</f>
        <v>2.6.1</v>
      </c>
      <c r="M31" s="848" t="str">
        <f>IF(J31=0,"",J31)</f>
        <v>Расходы на оплату труда основного производственного персонала</v>
      </c>
      <c r="N31" s="848" t="str">
        <f>IF(K31=0,"",K31)</f>
        <v/>
      </c>
      <c r="O31" s="961" t="s">
        <v>2364</v>
      </c>
      <c r="P31" s="961" t="s">
        <v>992</v>
      </c>
      <c r="Q31" s="961" t="s">
        <v>2364</v>
      </c>
      <c r="R31" s="961" t="s">
        <v>992</v>
      </c>
      <c r="S31" s="961"/>
      <c r="T31" s="969" t="s">
        <v>2365</v>
      </c>
      <c r="U31" s="850" t="s">
        <v>2365</v>
      </c>
      <c r="V31" s="850" t="s">
        <v>2365</v>
      </c>
      <c r="W31" s="850" t="s">
        <v>2365</v>
      </c>
      <c r="X31" s="847"/>
      <c r="Y31" s="1004"/>
      <c r="Z31" s="850"/>
      <c r="AA31" s="853"/>
      <c r="AB31" s="853"/>
      <c r="AC31" s="853"/>
      <c r="AD31" s="850"/>
    </row>
    <row customHeight="1" ht="36">
      <c r="A32" s="849"/>
      <c r="B32" s="903">
        <v>15</v>
      </c>
      <c r="C32" s="847" t="s">
        <v>2366</v>
      </c>
      <c r="D32" s="971"/>
      <c r="E32" s="847"/>
      <c r="F32" s="847"/>
      <c r="G32" s="895"/>
      <c r="H32" s="962"/>
      <c r="I32" s="1009" t="str">
        <f>INDEX(TEMPLATE_NUMBER_POINT_FHD,B32,MATCH(TEMPLATE_SPHERE,TEMPLATE_SPHERE_LIST_FOR_NOTE,0))</f>
        <v>2.6.2</v>
      </c>
      <c r="J32" s="10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9">
        <f>INDEX(TEMPLATE_NOTE_POINT_FHD,B32,MATCH(TEMPLATE_SPHERE,TEMPLATE_SPHERE_LIST_FOR_NOTE,0))</f>
        <v>0</v>
      </c>
      <c r="L32" s="848" t="str">
        <f>IF(I32=0,"",I32)</f>
        <v>2.6.2</v>
      </c>
      <c r="M32" s="848" t="str">
        <f>IF(J32=0,"",J32)</f>
        <v>Страховые взносы на обязательное социальное страхование, выплачиваемые из фонда оплаты труда основного производственного персонала</v>
      </c>
      <c r="N32" s="848" t="str">
        <f>IF(K32=0,"",K32)</f>
        <v/>
      </c>
      <c r="O32" s="961" t="s">
        <v>2367</v>
      </c>
      <c r="P32" s="961" t="s">
        <v>994</v>
      </c>
      <c r="Q32" s="961" t="s">
        <v>2367</v>
      </c>
      <c r="R32" s="961" t="s">
        <v>994</v>
      </c>
      <c r="S32" s="961"/>
      <c r="T32" s="97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0" t="s">
        <v>2368</v>
      </c>
      <c r="V32" s="850" t="s">
        <v>2368</v>
      </c>
      <c r="W32" s="850" t="s">
        <v>2368</v>
      </c>
      <c r="X32" s="847"/>
      <c r="Y32" s="1004"/>
      <c r="Z32" s="850"/>
      <c r="AA32" s="853"/>
      <c r="AB32" s="853"/>
      <c r="AC32" s="853"/>
      <c r="AD32" s="850"/>
    </row>
    <row customHeight="1" ht="45">
      <c r="A33" s="849"/>
      <c r="B33" s="903">
        <v>16</v>
      </c>
      <c r="C33" s="847">
        <v>10</v>
      </c>
      <c r="D33" s="971"/>
      <c r="E33" s="847"/>
      <c r="F33" s="847"/>
      <c r="G33" s="895"/>
      <c r="H33" s="962"/>
      <c r="I33" s="1009" t="str">
        <f>INDEX(TEMPLATE_NUMBER_POINT_FHD,B33,MATCH(TEMPLATE_SPHERE,TEMPLATE_SPHERE_LIST_FOR_NOTE,0))</f>
        <v>2.7</v>
      </c>
      <c r="J33" s="10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9">
        <f>INDEX(TEMPLATE_NOTE_POINT_FHD,B33,MATCH(TEMPLATE_SPHERE,TEMPLATE_SPHERE_LIST_FOR_NOTE,0))</f>
        <v>0</v>
      </c>
      <c r="L33" s="848" t="str">
        <f>IF(I33=0,"",I33)</f>
        <v>2.7</v>
      </c>
      <c r="M33" s="84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8" t="str">
        <f>IF(K33=0,"",K33)</f>
        <v/>
      </c>
      <c r="O33" s="961" t="s">
        <v>1000</v>
      </c>
      <c r="P33" s="961" t="s">
        <v>996</v>
      </c>
      <c r="Q33" s="961" t="s">
        <v>1000</v>
      </c>
      <c r="R33" s="961" t="s">
        <v>996</v>
      </c>
      <c r="S33" s="961"/>
      <c r="T33" s="96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0" t="s">
        <v>2369</v>
      </c>
      <c r="V33" s="850" t="s">
        <v>2369</v>
      </c>
      <c r="W33" s="850" t="s">
        <v>2370</v>
      </c>
      <c r="X33" s="847"/>
      <c r="Y33" s="1004"/>
      <c r="Z33" s="850"/>
      <c r="AA33" s="853" t="s">
        <v>2371</v>
      </c>
      <c r="AB33" s="853" t="s">
        <v>2371</v>
      </c>
      <c r="AC33" s="853" t="s">
        <v>2371</v>
      </c>
      <c r="AD33" s="850"/>
    </row>
    <row customHeight="1" ht="27">
      <c r="A34" s="849"/>
      <c r="B34" s="903">
        <v>17</v>
      </c>
      <c r="C34" s="847" t="s">
        <v>2372</v>
      </c>
      <c r="D34" s="971"/>
      <c r="E34" s="847"/>
      <c r="F34" s="847"/>
      <c r="G34" s="895"/>
      <c r="H34" s="962"/>
      <c r="I34" s="1009" t="str">
        <f>INDEX(TEMPLATE_NUMBER_POINT_FHD,B34,MATCH(TEMPLATE_SPHERE,TEMPLATE_SPHERE_LIST_FOR_NOTE,0))</f>
        <v>2.7.1</v>
      </c>
      <c r="J34" s="1009" t="str">
        <f>INDEX(TEMPLATE_DATA_POINT_FHD,B34,MATCH(TEMPLATE_SPHERE,TEMPLATE_SPHERE_LIST_FOR_NOTE,0))</f>
        <v>Расходы на оплату труда административно-управленческого персонала</v>
      </c>
      <c r="K34" s="1009">
        <f>INDEX(TEMPLATE_NOTE_POINT_FHD,B34,MATCH(TEMPLATE_SPHERE,TEMPLATE_SPHERE_LIST_FOR_NOTE,0))</f>
        <v>0</v>
      </c>
      <c r="L34" s="848" t="str">
        <f>IF(I34=0,"",I34)</f>
        <v>2.7.1</v>
      </c>
      <c r="M34" s="848" t="str">
        <f>IF(J34=0,"",J34)</f>
        <v>Расходы на оплату труда административно-управленческого персонала</v>
      </c>
      <c r="N34" s="848" t="str">
        <f>IF(K34=0,"",K34)</f>
        <v/>
      </c>
      <c r="O34" s="961" t="s">
        <v>2373</v>
      </c>
      <c r="P34" s="961" t="s">
        <v>2355</v>
      </c>
      <c r="Q34" s="961" t="s">
        <v>2373</v>
      </c>
      <c r="R34" s="961" t="s">
        <v>2355</v>
      </c>
      <c r="S34" s="961"/>
      <c r="T34" s="970" t="s">
        <v>2374</v>
      </c>
      <c r="U34" s="850" t="s">
        <v>2374</v>
      </c>
      <c r="V34" s="850" t="s">
        <v>2374</v>
      </c>
      <c r="W34" s="850" t="s">
        <v>2375</v>
      </c>
      <c r="X34" s="847"/>
      <c r="Y34" s="1004"/>
      <c r="Z34" s="850"/>
      <c r="AA34" s="853"/>
      <c r="AB34" s="850"/>
      <c r="AC34" s="850"/>
      <c r="AD34" s="850"/>
    </row>
    <row customHeight="1" ht="45">
      <c r="A35" s="849"/>
      <c r="B35" s="903">
        <v>18</v>
      </c>
      <c r="C35" s="847" t="s">
        <v>2376</v>
      </c>
      <c r="D35" s="971"/>
      <c r="E35" s="847"/>
      <c r="F35" s="847"/>
      <c r="G35" s="895"/>
      <c r="H35" s="962"/>
      <c r="I35" s="1009" t="str">
        <f>INDEX(TEMPLATE_NUMBER_POINT_FHD,B35,MATCH(TEMPLATE_SPHERE,TEMPLATE_SPHERE_LIST_FOR_NOTE,0))</f>
        <v>2.7.2</v>
      </c>
      <c r="J35" s="10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9">
        <f>INDEX(TEMPLATE_NOTE_POINT_FHD,B35,MATCH(TEMPLATE_SPHERE,TEMPLATE_SPHERE_LIST_FOR_NOTE,0))</f>
        <v>0</v>
      </c>
      <c r="L35" s="848" t="str">
        <f>IF(I35=0,"",I35)</f>
        <v>2.7.2</v>
      </c>
      <c r="M35" s="84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8" t="str">
        <f>IF(K35=0,"",K35)</f>
        <v/>
      </c>
      <c r="O35" s="961" t="s">
        <v>2377</v>
      </c>
      <c r="P35" s="961" t="s">
        <v>2357</v>
      </c>
      <c r="Q35" s="961" t="s">
        <v>2377</v>
      </c>
      <c r="R35" s="961" t="s">
        <v>2357</v>
      </c>
      <c r="S35" s="961"/>
      <c r="T35" s="96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0" t="s">
        <v>2378</v>
      </c>
      <c r="V35" s="850" t="s">
        <v>2378</v>
      </c>
      <c r="W35" s="850" t="s">
        <v>2378</v>
      </c>
      <c r="X35" s="847"/>
      <c r="Y35" s="1004"/>
      <c r="Z35" s="850"/>
      <c r="AA35" s="853"/>
      <c r="AB35" s="850"/>
      <c r="AC35" s="850"/>
      <c r="AD35" s="850"/>
    </row>
    <row customHeight="1" ht="18">
      <c r="A36" s="849"/>
      <c r="B36" s="903">
        <v>19</v>
      </c>
      <c r="C36" s="847">
        <v>11</v>
      </c>
      <c r="D36" s="971"/>
      <c r="E36" s="847"/>
      <c r="F36" s="847"/>
      <c r="G36" s="895"/>
      <c r="H36" s="962"/>
      <c r="I36" s="1009" t="str">
        <f>INDEX(TEMPLATE_NUMBER_POINT_FHD,B36,MATCH(TEMPLATE_SPHERE,TEMPLATE_SPHERE_LIST_FOR_NOTE,0))</f>
        <v>2.8</v>
      </c>
      <c r="J36" s="1009" t="str">
        <f>INDEX(TEMPLATE_DATA_POINT_FHD,B36,MATCH(TEMPLATE_SPHERE,TEMPLATE_SPHERE_LIST_FOR_NOTE,0))</f>
        <v>Расходы на амортизацию основных средств и нематериальных активов</v>
      </c>
      <c r="K36" s="1009">
        <f>INDEX(TEMPLATE_NOTE_POINT_FHD,B36,MATCH(TEMPLATE_SPHERE,TEMPLATE_SPHERE_LIST_FOR_NOTE,0))</f>
        <v>0</v>
      </c>
      <c r="L36" s="848" t="str">
        <f>IF(I36=0,"",I36)</f>
        <v>2.8</v>
      </c>
      <c r="M36" s="848" t="str">
        <f>IF(J36=0,"",J36)</f>
        <v>Расходы на амортизацию основных средств и нематериальных активов</v>
      </c>
      <c r="N36" s="848" t="str">
        <f>IF(K36=0,"",K36)</f>
        <v/>
      </c>
      <c r="O36" s="961" t="s">
        <v>1002</v>
      </c>
      <c r="P36" s="961" t="s">
        <v>998</v>
      </c>
      <c r="Q36" s="961" t="s">
        <v>1002</v>
      </c>
      <c r="R36" s="961" t="s">
        <v>998</v>
      </c>
      <c r="S36" s="961"/>
      <c r="T36" s="968" t="s">
        <v>2379</v>
      </c>
      <c r="U36" s="850" t="s">
        <v>2379</v>
      </c>
      <c r="V36" s="850" t="s">
        <v>2379</v>
      </c>
      <c r="W36" s="850" t="s">
        <v>2379</v>
      </c>
      <c r="X36" s="847"/>
      <c r="Y36" s="1004"/>
      <c r="Z36" s="850"/>
      <c r="AA36" s="853"/>
      <c r="AB36" s="850"/>
      <c r="AC36" s="850"/>
      <c r="AD36" s="850"/>
    </row>
    <row customHeight="1" ht="18">
      <c r="A37" s="849"/>
      <c r="B37" s="903">
        <v>20</v>
      </c>
      <c r="C37" s="847" t="s">
        <v>2380</v>
      </c>
      <c r="D37" s="971"/>
      <c r="E37" s="847"/>
      <c r="F37" s="847"/>
      <c r="G37" s="895"/>
      <c r="H37" s="962"/>
      <c r="I37" s="1009" t="str">
        <f>INDEX(TEMPLATE_NUMBER_POINT_FHD,B37,MATCH(TEMPLATE_SPHERE,TEMPLATE_SPHERE_LIST_FOR_NOTE,0))</f>
        <v>2.8.1</v>
      </c>
      <c r="J37" s="1009" t="str">
        <f>INDEX(TEMPLATE_DATA_POINT_FHD,B37,MATCH(TEMPLATE_SPHERE,TEMPLATE_SPHERE_LIST_FOR_NOTE,0))</f>
        <v>Расходы на амортизацию основных средств</v>
      </c>
      <c r="K37" s="1009">
        <f>INDEX(TEMPLATE_NOTE_POINT_FHD,B37,MATCH(TEMPLATE_SPHERE,TEMPLATE_SPHERE_LIST_FOR_NOTE,0))</f>
        <v>0</v>
      </c>
      <c r="L37" s="848" t="str">
        <f>IF(I37=0,"",I37)</f>
        <v>2.8.1</v>
      </c>
      <c r="M37" s="848" t="str">
        <f>IF(J37=0,"",J37)</f>
        <v>Расходы на амортизацию основных средств</v>
      </c>
      <c r="N37" s="848" t="str">
        <f>IF(K37=0,"",K37)</f>
        <v/>
      </c>
      <c r="O37" s="961" t="s">
        <v>2381</v>
      </c>
      <c r="P37" s="961" t="s">
        <v>2364</v>
      </c>
      <c r="Q37" s="961" t="s">
        <v>2381</v>
      </c>
      <c r="R37" s="961" t="s">
        <v>2364</v>
      </c>
      <c r="S37" s="961"/>
      <c r="T37" s="968" t="s">
        <v>2382</v>
      </c>
      <c r="U37" s="850" t="s">
        <v>2382</v>
      </c>
      <c r="V37" s="850" t="s">
        <v>2382</v>
      </c>
      <c r="W37" s="850" t="s">
        <v>2382</v>
      </c>
      <c r="X37" s="847"/>
      <c r="Y37" s="1004"/>
      <c r="Z37" s="850"/>
      <c r="AA37" s="853"/>
      <c r="AB37" s="850"/>
      <c r="AC37" s="850"/>
      <c r="AD37" s="850"/>
    </row>
    <row customHeight="1" ht="18">
      <c r="A38" s="849"/>
      <c r="B38" s="903">
        <v>21</v>
      </c>
      <c r="C38" s="847" t="s">
        <v>2383</v>
      </c>
      <c r="D38" s="971"/>
      <c r="E38" s="847"/>
      <c r="F38" s="847"/>
      <c r="G38" s="895"/>
      <c r="H38" s="962"/>
      <c r="I38" s="1009" t="str">
        <f>INDEX(TEMPLATE_NUMBER_POINT_FHD,B38,MATCH(TEMPLATE_SPHERE,TEMPLATE_SPHERE_LIST_FOR_NOTE,0))</f>
        <v>2.8.2</v>
      </c>
      <c r="J38" s="1009" t="str">
        <f>INDEX(TEMPLATE_DATA_POINT_FHD,B38,MATCH(TEMPLATE_SPHERE,TEMPLATE_SPHERE_LIST_FOR_NOTE,0))</f>
        <v>Расходы на амортизацию нематериальных активов</v>
      </c>
      <c r="K38" s="1009">
        <f>INDEX(TEMPLATE_NOTE_POINT_FHD,B38,MATCH(TEMPLATE_SPHERE,TEMPLATE_SPHERE_LIST_FOR_NOTE,0))</f>
        <v>0</v>
      </c>
      <c r="L38" s="848" t="str">
        <f>IF(I38=0,"",I38)</f>
        <v>2.8.2</v>
      </c>
      <c r="M38" s="848" t="str">
        <f>IF(J38=0,"",J38)</f>
        <v>Расходы на амортизацию нематериальных активов</v>
      </c>
      <c r="N38" s="848" t="str">
        <f>IF(K38=0,"",K38)</f>
        <v/>
      </c>
      <c r="O38" s="961" t="s">
        <v>2384</v>
      </c>
      <c r="P38" s="961" t="s">
        <v>2367</v>
      </c>
      <c r="Q38" s="961" t="s">
        <v>2384</v>
      </c>
      <c r="R38" s="961" t="s">
        <v>2367</v>
      </c>
      <c r="S38" s="961"/>
      <c r="T38" s="968" t="s">
        <v>2385</v>
      </c>
      <c r="U38" s="850" t="s">
        <v>2385</v>
      </c>
      <c r="V38" s="850" t="s">
        <v>2385</v>
      </c>
      <c r="W38" s="850" t="s">
        <v>2385</v>
      </c>
      <c r="X38" s="847"/>
      <c r="Y38" s="1004"/>
      <c r="Z38" s="850"/>
      <c r="AA38" s="853"/>
      <c r="AB38" s="850"/>
      <c r="AC38" s="850"/>
      <c r="AD38" s="850"/>
    </row>
    <row customHeight="1" ht="36">
      <c r="A39" s="849"/>
      <c r="B39" s="903">
        <v>22</v>
      </c>
      <c r="C39" s="847">
        <v>12</v>
      </c>
      <c r="D39" s="971"/>
      <c r="E39" s="847"/>
      <c r="F39" s="847"/>
      <c r="G39" s="895"/>
      <c r="H39" s="962"/>
      <c r="I39" s="1009" t="str">
        <f>INDEX(TEMPLATE_NUMBER_POINT_FHD,B39,MATCH(TEMPLATE_SPHERE,TEMPLATE_SPHERE_LIST_FOR_NOTE,0))</f>
        <v>2.9</v>
      </c>
      <c r="J39" s="1009" t="str">
        <f>INDEX(TEMPLATE_DATA_POINT_FHD,B39,MATCH(TEMPLATE_SPHERE,TEMPLATE_SPHERE_LIST_FOR_NOTE,0))</f>
        <v>Расходы на аренду имущества, используемого для осуществления регулируемого вида деятельности</v>
      </c>
      <c r="K39" s="1009">
        <f>INDEX(TEMPLATE_NOTE_POINT_FHD,B39,MATCH(TEMPLATE_SPHERE,TEMPLATE_SPHERE_LIST_FOR_NOTE,0))</f>
        <v>0</v>
      </c>
      <c r="L39" s="848" t="str">
        <f>IF(I39=0,"",I39)</f>
        <v>2.9</v>
      </c>
      <c r="M39" s="848" t="str">
        <f>IF(J39=0,"",J39)</f>
        <v>Расходы на аренду имущества, используемого для осуществления регулируемого вида деятельности</v>
      </c>
      <c r="N39" s="848" t="str">
        <f>IF(K39=0,"",K39)</f>
        <v/>
      </c>
      <c r="O39" s="961" t="s">
        <v>1006</v>
      </c>
      <c r="P39" s="961" t="s">
        <v>1000</v>
      </c>
      <c r="Q39" s="961" t="s">
        <v>1006</v>
      </c>
      <c r="R39" s="961" t="s">
        <v>1000</v>
      </c>
      <c r="S39" s="961"/>
      <c r="T39" s="968" t="s">
        <v>2386</v>
      </c>
      <c r="U39" s="850" t="s">
        <v>2387</v>
      </c>
      <c r="V39" s="850" t="s">
        <v>2388</v>
      </c>
      <c r="W39" s="850" t="s">
        <v>2389</v>
      </c>
      <c r="X39" s="847"/>
      <c r="Y39" s="1004"/>
      <c r="Z39" s="850"/>
      <c r="AA39" s="853"/>
      <c r="AB39" s="850"/>
      <c r="AC39" s="850"/>
      <c r="AD39" s="850"/>
    </row>
    <row customHeight="1" ht="18">
      <c r="A40" s="849"/>
      <c r="B40" s="903">
        <v>23</v>
      </c>
      <c r="C40" s="847">
        <v>13</v>
      </c>
      <c r="D40" s="971"/>
      <c r="E40" s="847"/>
      <c r="F40" s="847"/>
      <c r="G40" s="847"/>
      <c r="H40" s="898"/>
      <c r="I40" s="1009" t="str">
        <f>INDEX(TEMPLATE_NUMBER_POINT_FHD,B40,MATCH(TEMPLATE_SPHERE,TEMPLATE_SPHERE_LIST_FOR_NOTE,0))</f>
        <v>2.10</v>
      </c>
      <c r="J40" s="1009" t="str">
        <f>INDEX(TEMPLATE_DATA_POINT_FHD,B40,MATCH(TEMPLATE_SPHERE,TEMPLATE_SPHERE_LIST_FOR_NOTE,0))</f>
        <v>Общепроизводственные расходы, в том числе:</v>
      </c>
      <c r="K40" s="1009" t="str">
        <f>INDEX(TEMPLATE_NOTE_POINT_FHD,B40,MATCH(TEMPLATE_SPHERE,TEMPLATE_SPHERE_LIST_FOR_NOTE,0))</f>
        <v>Указывается общая сумма общепроизводственных расходов.</v>
      </c>
      <c r="L40" s="848" t="str">
        <f>IF(I40=0,"",I40)</f>
        <v>2.10</v>
      </c>
      <c r="M40" s="848" t="str">
        <f>IF(J40=0,"",J40)</f>
        <v>Общепроизводственные расходы, в том числе:</v>
      </c>
      <c r="N40" s="848" t="str">
        <f>IF(K40=0,"",K40)</f>
        <v>Указывается общая сумма общепроизводственных расходов.</v>
      </c>
      <c r="O40" s="961" t="s">
        <v>2390</v>
      </c>
      <c r="P40" s="961" t="s">
        <v>1002</v>
      </c>
      <c r="Q40" s="961" t="s">
        <v>2390</v>
      </c>
      <c r="R40" s="961" t="s">
        <v>1002</v>
      </c>
      <c r="S40" s="961"/>
      <c r="T40" s="847" t="s">
        <v>2391</v>
      </c>
      <c r="U40" s="847" t="s">
        <v>2391</v>
      </c>
      <c r="V40" s="847" t="s">
        <v>2391</v>
      </c>
      <c r="W40" s="847" t="s">
        <v>2391</v>
      </c>
      <c r="X40" s="847"/>
      <c r="Y40" s="1004"/>
      <c r="Z40" s="850" t="s">
        <v>2392</v>
      </c>
      <c r="AA40" s="853" t="s">
        <v>2392</v>
      </c>
      <c r="AB40" s="853" t="s">
        <v>2392</v>
      </c>
      <c r="AC40" s="853" t="s">
        <v>2392</v>
      </c>
      <c r="AD40" s="850"/>
    </row>
    <row customHeight="1" ht="27">
      <c r="A41" s="849"/>
      <c r="B41" s="903">
        <v>24</v>
      </c>
      <c r="C41" s="847" t="s">
        <v>2393</v>
      </c>
      <c r="D41" s="971"/>
      <c r="E41" s="847"/>
      <c r="F41" s="847"/>
      <c r="G41" s="847"/>
      <c r="H41" s="895"/>
      <c r="I41" s="1009" t="str">
        <f>INDEX(TEMPLATE_NUMBER_POINT_FHD,B41,MATCH(TEMPLATE_SPHERE,TEMPLATE_SPHERE_LIST_FOR_NOTE,0))</f>
        <v>2.10.1</v>
      </c>
      <c r="J41" s="1009" t="str">
        <f>INDEX(TEMPLATE_DATA_POINT_FHD,B41,MATCH(TEMPLATE_SPHERE,TEMPLATE_SPHERE_LIST_FOR_NOTE,0))</f>
        <v>Расходы на текущий ремонт</v>
      </c>
      <c r="K41" s="1009" t="str">
        <f>INDEX(TEMPLATE_NOTE_POINT_FHD,B41,MATCH(TEMPLATE_SPHERE,TEMPLATE_SPHERE_LIST_FOR_NOTE,0))</f>
        <v>Указываются расходы на текущий ремонт, отнесенные к общепроизводственным расходам.</v>
      </c>
      <c r="L41" s="848" t="str">
        <f>IF(I41=0,"",I41)</f>
        <v>2.10.1</v>
      </c>
      <c r="M41" s="848" t="str">
        <f>IF(J41=0,"",J41)</f>
        <v>Расходы на текущий ремонт</v>
      </c>
      <c r="N41" s="848" t="str">
        <f>IF(K41=0,"",K41)</f>
        <v>Указываются расходы на текущий ремонт, отнесенные к общепроизводственным расходам.</v>
      </c>
      <c r="O41" s="961" t="s">
        <v>2394</v>
      </c>
      <c r="P41" s="961" t="s">
        <v>2381</v>
      </c>
      <c r="Q41" s="961" t="s">
        <v>2394</v>
      </c>
      <c r="R41" s="961" t="s">
        <v>2381</v>
      </c>
      <c r="S41" s="961"/>
      <c r="T41" s="847" t="s">
        <v>2395</v>
      </c>
      <c r="U41" s="847" t="s">
        <v>2395</v>
      </c>
      <c r="V41" s="847" t="s">
        <v>2395</v>
      </c>
      <c r="W41" s="847" t="s">
        <v>2395</v>
      </c>
      <c r="X41" s="847"/>
      <c r="Y41" s="1004"/>
      <c r="Z41" s="850" t="s">
        <v>2396</v>
      </c>
      <c r="AA41" s="850" t="s">
        <v>2396</v>
      </c>
      <c r="AB41" s="850" t="s">
        <v>2396</v>
      </c>
      <c r="AC41" s="850" t="s">
        <v>2396</v>
      </c>
      <c r="AD41" s="850"/>
    </row>
    <row customHeight="1" ht="27">
      <c r="A42" s="849"/>
      <c r="B42" s="903">
        <v>25</v>
      </c>
      <c r="C42" s="847" t="s">
        <v>2397</v>
      </c>
      <c r="D42" s="971"/>
      <c r="E42" s="847"/>
      <c r="F42" s="847"/>
      <c r="G42" s="847"/>
      <c r="H42" s="895"/>
      <c r="I42" s="1009" t="str">
        <f>INDEX(TEMPLATE_NUMBER_POINT_FHD,B42,MATCH(TEMPLATE_SPHERE,TEMPLATE_SPHERE_LIST_FOR_NOTE,0))</f>
        <v>2.10.2</v>
      </c>
      <c r="J42" s="1009" t="str">
        <f>INDEX(TEMPLATE_DATA_POINT_FHD,B42,MATCH(TEMPLATE_SPHERE,TEMPLATE_SPHERE_LIST_FOR_NOTE,0))</f>
        <v>Расходы на капитальный ремонт</v>
      </c>
      <c r="K42" s="1009" t="str">
        <f>INDEX(TEMPLATE_NOTE_POINT_FHD,B42,MATCH(TEMPLATE_SPHERE,TEMPLATE_SPHERE_LIST_FOR_NOTE,0))</f>
        <v>Указываются расходы на капитальный ремонт, отнесенные к общепроизводственным расходам.</v>
      </c>
      <c r="L42" s="848" t="str">
        <f>IF(I42=0,"",I42)</f>
        <v>2.10.2</v>
      </c>
      <c r="M42" s="848" t="str">
        <f>IF(J42=0,"",J42)</f>
        <v>Расходы на капитальный ремонт</v>
      </c>
      <c r="N42" s="848" t="str">
        <f>IF(K42=0,"",K42)</f>
        <v>Указываются расходы на капитальный ремонт, отнесенные к общепроизводственным расходам.</v>
      </c>
      <c r="O42" s="961" t="s">
        <v>2398</v>
      </c>
      <c r="P42" s="961" t="s">
        <v>2384</v>
      </c>
      <c r="Q42" s="961" t="s">
        <v>2398</v>
      </c>
      <c r="R42" s="961" t="s">
        <v>2384</v>
      </c>
      <c r="S42" s="961"/>
      <c r="T42" s="847" t="s">
        <v>2399</v>
      </c>
      <c r="U42" s="847" t="s">
        <v>2399</v>
      </c>
      <c r="V42" s="847" t="s">
        <v>2399</v>
      </c>
      <c r="W42" s="847" t="s">
        <v>2399</v>
      </c>
      <c r="X42" s="847"/>
      <c r="Y42" s="1004"/>
      <c r="Z42" s="850" t="s">
        <v>2400</v>
      </c>
      <c r="AA42" s="850" t="s">
        <v>2400</v>
      </c>
      <c r="AB42" s="850" t="s">
        <v>2400</v>
      </c>
      <c r="AC42" s="850" t="s">
        <v>2400</v>
      </c>
      <c r="AD42" s="850"/>
    </row>
    <row customHeight="1" ht="18">
      <c r="A43" s="849"/>
      <c r="B43" s="903">
        <v>26</v>
      </c>
      <c r="C43" s="847">
        <v>14</v>
      </c>
      <c r="D43" s="971"/>
      <c r="E43" s="847"/>
      <c r="F43" s="847"/>
      <c r="G43" s="847"/>
      <c r="H43" s="895"/>
      <c r="I43" s="1009" t="str">
        <f>INDEX(TEMPLATE_NUMBER_POINT_FHD,B43,MATCH(TEMPLATE_SPHERE,TEMPLATE_SPHERE_LIST_FOR_NOTE,0))</f>
        <v>2.11</v>
      </c>
      <c r="J43" s="1009" t="str">
        <f>INDEX(TEMPLATE_DATA_POINT_FHD,B43,MATCH(TEMPLATE_SPHERE,TEMPLATE_SPHERE_LIST_FOR_NOTE,0))</f>
        <v>Общехозяйственные расходы, в том числе:</v>
      </c>
      <c r="K43" s="1009" t="str">
        <f>INDEX(TEMPLATE_NOTE_POINT_FHD,B43,MATCH(TEMPLATE_SPHERE,TEMPLATE_SPHERE_LIST_FOR_NOTE,0))</f>
        <v>Указывается общая сумма общехозяйственных расходов.</v>
      </c>
      <c r="L43" s="848" t="str">
        <f>IF(I43=0,"",I43)</f>
        <v>2.11</v>
      </c>
      <c r="M43" s="848" t="str">
        <f>IF(J43=0,"",J43)</f>
        <v>Общехозяйственные расходы, в том числе:</v>
      </c>
      <c r="N43" s="848" t="str">
        <f>IF(K43=0,"",K43)</f>
        <v>Указывается общая сумма общехозяйственных расходов.</v>
      </c>
      <c r="O43" s="961" t="s">
        <v>2401</v>
      </c>
      <c r="P43" s="961" t="s">
        <v>1006</v>
      </c>
      <c r="Q43" s="961" t="s">
        <v>2401</v>
      </c>
      <c r="R43" s="961" t="s">
        <v>1006</v>
      </c>
      <c r="S43" s="961"/>
      <c r="T43" s="847" t="s">
        <v>2402</v>
      </c>
      <c r="U43" s="847" t="s">
        <v>2402</v>
      </c>
      <c r="V43" s="847" t="s">
        <v>2402</v>
      </c>
      <c r="W43" s="847" t="s">
        <v>2402</v>
      </c>
      <c r="X43" s="847"/>
      <c r="Y43" s="1004"/>
      <c r="Z43" s="850" t="s">
        <v>2403</v>
      </c>
      <c r="AA43" s="850" t="s">
        <v>2403</v>
      </c>
      <c r="AB43" s="850" t="s">
        <v>2403</v>
      </c>
      <c r="AC43" s="850" t="s">
        <v>2403</v>
      </c>
      <c r="AD43" s="850"/>
    </row>
    <row customHeight="1" ht="27">
      <c r="A44" s="849"/>
      <c r="B44" s="903">
        <v>27</v>
      </c>
      <c r="C44" s="847" t="s">
        <v>2404</v>
      </c>
      <c r="D44" s="971"/>
      <c r="E44" s="847"/>
      <c r="F44" s="847"/>
      <c r="G44" s="847"/>
      <c r="H44" s="895"/>
      <c r="I44" s="1009" t="str">
        <f>INDEX(TEMPLATE_NUMBER_POINT_FHD,B44,MATCH(TEMPLATE_SPHERE,TEMPLATE_SPHERE_LIST_FOR_NOTE,0))</f>
        <v>2.11.1</v>
      </c>
      <c r="J44" s="1009" t="str">
        <f>INDEX(TEMPLATE_DATA_POINT_FHD,B44,MATCH(TEMPLATE_SPHERE,TEMPLATE_SPHERE_LIST_FOR_NOTE,0))</f>
        <v>Расходы на текущий ремонт</v>
      </c>
      <c r="K44" s="1009" t="str">
        <f>INDEX(TEMPLATE_NOTE_POINT_FHD,B44,MATCH(TEMPLATE_SPHERE,TEMPLATE_SPHERE_LIST_FOR_NOTE,0))</f>
        <v>Указываются расходы на текущий ремонт, отнесенные к общехозяйственным расходам.</v>
      </c>
      <c r="L44" s="848" t="str">
        <f>IF(I44=0,"",I44)</f>
        <v>2.11.1</v>
      </c>
      <c r="M44" s="848" t="str">
        <f>IF(J44=0,"",J44)</f>
        <v>Расходы на текущий ремонт</v>
      </c>
      <c r="N44" s="848" t="str">
        <f>IF(K44=0,"",K44)</f>
        <v>Указываются расходы на текущий ремонт, отнесенные к общехозяйственным расходам.</v>
      </c>
      <c r="O44" s="961" t="s">
        <v>2405</v>
      </c>
      <c r="P44" s="961" t="s">
        <v>2406</v>
      </c>
      <c r="Q44" s="961" t="s">
        <v>2405</v>
      </c>
      <c r="R44" s="961" t="s">
        <v>2406</v>
      </c>
      <c r="S44" s="961"/>
      <c r="T44" s="847" t="s">
        <v>2395</v>
      </c>
      <c r="U44" s="847" t="s">
        <v>2395</v>
      </c>
      <c r="V44" s="847" t="s">
        <v>2395</v>
      </c>
      <c r="W44" s="847" t="s">
        <v>2395</v>
      </c>
      <c r="X44" s="847"/>
      <c r="Y44" s="1004"/>
      <c r="Z44" s="850" t="s">
        <v>2407</v>
      </c>
      <c r="AA44" s="850" t="s">
        <v>2407</v>
      </c>
      <c r="AB44" s="850" t="s">
        <v>2407</v>
      </c>
      <c r="AC44" s="850" t="s">
        <v>2407</v>
      </c>
      <c r="AD44" s="850"/>
    </row>
    <row customHeight="1" ht="27">
      <c r="A45" s="849"/>
      <c r="B45" s="903">
        <v>28</v>
      </c>
      <c r="C45" s="847" t="s">
        <v>2408</v>
      </c>
      <c r="D45" s="971"/>
      <c r="E45" s="847"/>
      <c r="F45" s="847"/>
      <c r="G45" s="847"/>
      <c r="H45" s="895"/>
      <c r="I45" s="1009" t="str">
        <f>INDEX(TEMPLATE_NUMBER_POINT_FHD,B45,MATCH(TEMPLATE_SPHERE,TEMPLATE_SPHERE_LIST_FOR_NOTE,0))</f>
        <v>2.11.2</v>
      </c>
      <c r="J45" s="1009" t="str">
        <f>INDEX(TEMPLATE_DATA_POINT_FHD,B45,MATCH(TEMPLATE_SPHERE,TEMPLATE_SPHERE_LIST_FOR_NOTE,0))</f>
        <v>Расходы на капитальный ремонт</v>
      </c>
      <c r="K45" s="1009" t="str">
        <f>INDEX(TEMPLATE_NOTE_POINT_FHD,B45,MATCH(TEMPLATE_SPHERE,TEMPLATE_SPHERE_LIST_FOR_NOTE,0))</f>
        <v>Указываются расходы на капитальный ремонт, отнесенные к общехозяйственным расходам.</v>
      </c>
      <c r="L45" s="848" t="str">
        <f>IF(I45=0,"",I45)</f>
        <v>2.11.2</v>
      </c>
      <c r="M45" s="848" t="str">
        <f>IF(J45=0,"",J45)</f>
        <v>Расходы на капитальный ремонт</v>
      </c>
      <c r="N45" s="848" t="str">
        <f>IF(K45=0,"",K45)</f>
        <v>Указываются расходы на капитальный ремонт, отнесенные к общехозяйственным расходам.</v>
      </c>
      <c r="O45" s="961" t="s">
        <v>2409</v>
      </c>
      <c r="P45" s="961" t="s">
        <v>2410</v>
      </c>
      <c r="Q45" s="961" t="s">
        <v>2409</v>
      </c>
      <c r="R45" s="961" t="s">
        <v>2410</v>
      </c>
      <c r="S45" s="961"/>
      <c r="T45" s="847" t="s">
        <v>2399</v>
      </c>
      <c r="U45" s="847" t="s">
        <v>2399</v>
      </c>
      <c r="V45" s="847" t="s">
        <v>2399</v>
      </c>
      <c r="W45" s="847" t="s">
        <v>2399</v>
      </c>
      <c r="X45" s="847"/>
      <c r="Y45" s="1004"/>
      <c r="Z45" s="850" t="s">
        <v>2411</v>
      </c>
      <c r="AA45" s="850" t="s">
        <v>2411</v>
      </c>
      <c r="AB45" s="850" t="s">
        <v>2411</v>
      </c>
      <c r="AC45" s="850" t="s">
        <v>2411</v>
      </c>
      <c r="AD45" s="850"/>
    </row>
    <row customHeight="1" ht="54">
      <c r="A46" s="849"/>
      <c r="B46" s="903">
        <v>29</v>
      </c>
      <c r="C46" s="847">
        <v>15</v>
      </c>
      <c r="D46" s="971"/>
      <c r="E46" s="847"/>
      <c r="F46" s="847"/>
      <c r="G46" s="847"/>
      <c r="H46" s="895"/>
      <c r="I46" s="1009" t="str">
        <f>INDEX(TEMPLATE_NUMBER_POINT_FHD,B46,MATCH(TEMPLATE_SPHERE,TEMPLATE_SPHERE_LIST_FOR_NOTE,0))</f>
        <v>2.12</v>
      </c>
      <c r="J46" s="1009" t="str">
        <f>INDEX(TEMPLATE_DATA_POINT_FHD,B46,MATCH(TEMPLATE_SPHERE,TEMPLATE_SPHERE_LIST_FOR_NOTE,0))</f>
        <v>Расходы на капитальный и текущий ремонт основных средств</v>
      </c>
      <c r="K46" s="1009"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8" t="str">
        <f>IF(I46=0,"",I46)</f>
        <v>2.12</v>
      </c>
      <c r="M46" s="848" t="str">
        <f>IF(J46=0,"",J46)</f>
        <v>Расходы на капитальный и текущий ремонт основных средств</v>
      </c>
      <c r="N46" s="848"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1" t="s">
        <v>2412</v>
      </c>
      <c r="P46" s="961" t="s">
        <v>2390</v>
      </c>
      <c r="Q46" s="961" t="s">
        <v>2412</v>
      </c>
      <c r="R46" s="961" t="s">
        <v>2390</v>
      </c>
      <c r="S46" s="961"/>
      <c r="T46" s="84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7" t="s">
        <v>2413</v>
      </c>
      <c r="V46" s="847" t="s">
        <v>2413</v>
      </c>
      <c r="W46" s="847" t="s">
        <v>2413</v>
      </c>
      <c r="X46" s="847"/>
      <c r="Y46" s="1004"/>
      <c r="Z46" s="850" t="s">
        <v>2414</v>
      </c>
      <c r="AA46" s="850" t="s">
        <v>2415</v>
      </c>
      <c r="AB46" s="850" t="s">
        <v>2415</v>
      </c>
      <c r="AC46" s="850" t="s">
        <v>2415</v>
      </c>
      <c r="AD46" s="850"/>
    </row>
    <row customHeight="1" ht="54">
      <c r="A47" s="849"/>
      <c r="B47" s="903">
        <v>30</v>
      </c>
      <c r="C47" s="847" t="s">
        <v>2416</v>
      </c>
      <c r="D47" s="971"/>
      <c r="E47" s="847"/>
      <c r="F47" s="847"/>
      <c r="G47" s="847"/>
      <c r="H47" s="895"/>
      <c r="I47" s="1009" t="str">
        <f>INDEX(TEMPLATE_NUMBER_POINT_FHD,B47,MATCH(TEMPLATE_SPHERE,TEMPLATE_SPHERE_LIST_FOR_NOTE,0))</f>
        <v>2.12.1</v>
      </c>
      <c r="J47" s="10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9">
        <f>INDEX(TEMPLATE_NOTE_POINT_FHD,B47,MATCH(TEMPLATE_SPHERE,TEMPLATE_SPHERE_LIST_FOR_NOTE,0))</f>
        <v>0</v>
      </c>
      <c r="L47" s="848" t="str">
        <f>IF(I47=0,"",I47)</f>
        <v>2.12.1</v>
      </c>
      <c r="M47" s="84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8" t="str">
        <f>IF(K47=0,"",K47)</f>
        <v/>
      </c>
      <c r="O47" s="961" t="s">
        <v>2417</v>
      </c>
      <c r="P47" s="961" t="s">
        <v>2394</v>
      </c>
      <c r="Q47" s="961" t="s">
        <v>2417</v>
      </c>
      <c r="R47" s="961" t="s">
        <v>2394</v>
      </c>
      <c r="S47" s="961"/>
      <c r="T47" s="847" t="s">
        <v>2418</v>
      </c>
      <c r="U47" s="847" t="s">
        <v>2418</v>
      </c>
      <c r="V47" s="847" t="s">
        <v>2418</v>
      </c>
      <c r="W47" s="847" t="s">
        <v>2418</v>
      </c>
      <c r="X47" s="847"/>
      <c r="Y47" s="1004"/>
      <c r="Z47" s="850"/>
      <c r="AA47" s="853"/>
      <c r="AB47" s="853"/>
      <c r="AC47" s="853"/>
      <c r="AD47" s="850"/>
    </row>
    <row customHeight="1" ht="54">
      <c r="A48" s="849"/>
      <c r="B48" s="903">
        <v>31</v>
      </c>
      <c r="C48" s="847">
        <v>16</v>
      </c>
      <c r="D48" s="971"/>
      <c r="E48" s="847"/>
      <c r="F48" s="847"/>
      <c r="G48" s="847"/>
      <c r="H48" s="895"/>
      <c r="I48" s="1009">
        <f>INDEX(TEMPLATE_NUMBER_POINT_FHD,B48,MATCH(TEMPLATE_SPHERE,TEMPLATE_SPHERE_LIST_FOR_NOTE,0))</f>
        <v>0</v>
      </c>
      <c r="J48" s="1009">
        <f>INDEX(TEMPLATE_DATA_POINT_FHD,B48,MATCH(TEMPLATE_SPHERE,TEMPLATE_SPHERE_LIST_FOR_NOTE,0))</f>
        <v>0</v>
      </c>
      <c r="K48" s="1009">
        <f>INDEX(TEMPLATE_NOTE_POINT_FHD,B48,MATCH(TEMPLATE_SPHERE,TEMPLATE_SPHERE_LIST_FOR_NOTE,0))</f>
        <v>0</v>
      </c>
      <c r="L48" s="848" t="str">
        <f>IF(I48=0,"",I48)</f>
        <v/>
      </c>
      <c r="M48" s="848" t="str">
        <f>IF(J48=0,"",J48)</f>
        <v/>
      </c>
      <c r="N48" s="848" t="str">
        <f>IF(K48=0,"",K48)</f>
        <v/>
      </c>
      <c r="O48" s="961"/>
      <c r="P48" s="961" t="s">
        <v>2401</v>
      </c>
      <c r="Q48" s="961" t="s">
        <v>2419</v>
      </c>
      <c r="R48" s="961" t="s">
        <v>2401</v>
      </c>
      <c r="S48" s="961"/>
      <c r="T48" s="847"/>
      <c r="U48" s="847" t="s">
        <v>2420</v>
      </c>
      <c r="V48" s="847" t="s">
        <v>2421</v>
      </c>
      <c r="W48" s="847" t="s">
        <v>2421</v>
      </c>
      <c r="X48" s="847"/>
      <c r="Y48" s="1004"/>
      <c r="Z48" s="850"/>
      <c r="AA48" s="853" t="s">
        <v>2415</v>
      </c>
      <c r="AB48" s="853" t="s">
        <v>2415</v>
      </c>
      <c r="AC48" s="853" t="s">
        <v>2415</v>
      </c>
      <c r="AD48" s="850"/>
    </row>
    <row customHeight="1" ht="54">
      <c r="A49" s="849"/>
      <c r="B49" s="903">
        <v>32</v>
      </c>
      <c r="C49" s="847" t="s">
        <v>2422</v>
      </c>
      <c r="D49" s="971"/>
      <c r="E49" s="847"/>
      <c r="F49" s="847"/>
      <c r="G49" s="847"/>
      <c r="H49" s="895"/>
      <c r="I49" s="1009">
        <f>INDEX(TEMPLATE_NUMBER_POINT_FHD,B49,MATCH(TEMPLATE_SPHERE,TEMPLATE_SPHERE_LIST_FOR_NOTE,0))</f>
        <v>0</v>
      </c>
      <c r="J49" s="1009">
        <f>INDEX(TEMPLATE_DATA_POINT_FHD,B49,MATCH(TEMPLATE_SPHERE,TEMPLATE_SPHERE_LIST_FOR_NOTE,0))</f>
        <v>0</v>
      </c>
      <c r="K49" s="1009">
        <f>INDEX(TEMPLATE_NOTE_POINT_FHD,B49,MATCH(TEMPLATE_SPHERE,TEMPLATE_SPHERE_LIST_FOR_NOTE,0))</f>
        <v>0</v>
      </c>
      <c r="L49" s="848" t="str">
        <f>IF(I49=0,"",I49)</f>
        <v/>
      </c>
      <c r="M49" s="848" t="str">
        <f>IF(J49=0,"",J49)</f>
        <v/>
      </c>
      <c r="N49" s="848" t="str">
        <f>IF(K49=0,"",K49)</f>
        <v/>
      </c>
      <c r="O49" s="961"/>
      <c r="P49" s="961" t="s">
        <v>2405</v>
      </c>
      <c r="Q49" s="961" t="s">
        <v>2423</v>
      </c>
      <c r="R49" s="961" t="s">
        <v>2405</v>
      </c>
      <c r="S49" s="961"/>
      <c r="T49" s="847"/>
      <c r="U49" s="847" t="s">
        <v>2418</v>
      </c>
      <c r="V49" s="847" t="s">
        <v>2418</v>
      </c>
      <c r="W49" s="847" t="s">
        <v>2418</v>
      </c>
      <c r="X49" s="847"/>
      <c r="Y49" s="1004"/>
      <c r="Z49" s="850"/>
      <c r="AA49" s="853"/>
      <c r="AB49" s="853"/>
      <c r="AC49" s="853"/>
      <c r="AD49" s="850"/>
    </row>
    <row customHeight="1" ht="126">
      <c r="A50" s="849"/>
      <c r="B50" s="903">
        <v>33</v>
      </c>
      <c r="C50" s="847">
        <v>17</v>
      </c>
      <c r="D50" s="971"/>
      <c r="E50" s="847"/>
      <c r="F50" s="847"/>
      <c r="G50" s="847"/>
      <c r="H50" s="895"/>
      <c r="I50" s="1009" t="str">
        <f>INDEX(TEMPLATE_NUMBER_POINT_FHD,B50,MATCH(TEMPLATE_SPHERE,TEMPLATE_SPHERE_LIST_FOR_NOTE,0))</f>
        <v>2.13</v>
      </c>
      <c r="J50" s="1009"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8" t="str">
        <f>IF(I50=0,"",I50)</f>
        <v>2.13</v>
      </c>
      <c r="M50" s="848"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8"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1" t="s">
        <v>2419</v>
      </c>
      <c r="P50" s="961" t="s">
        <v>2412</v>
      </c>
      <c r="Q50" s="961" t="s">
        <v>2424</v>
      </c>
      <c r="R50" s="961" t="s">
        <v>2412</v>
      </c>
      <c r="S50" s="961"/>
      <c r="T50" s="847" t="s">
        <v>2425</v>
      </c>
      <c r="U50" s="847" t="s">
        <v>2426</v>
      </c>
      <c r="V50" s="847" t="s">
        <v>2427</v>
      </c>
      <c r="W50" s="847" t="s">
        <v>2428</v>
      </c>
      <c r="X50" s="847"/>
      <c r="Y50" s="1004"/>
      <c r="Z50" s="850" t="s">
        <v>2429</v>
      </c>
      <c r="AA50" s="853" t="s">
        <v>2430</v>
      </c>
      <c r="AB50" s="853" t="s">
        <v>2430</v>
      </c>
      <c r="AC50" s="853" t="s">
        <v>2430</v>
      </c>
      <c r="AD50" s="850"/>
    </row>
    <row customHeight="1" ht="27">
      <c r="A51" s="849"/>
      <c r="B51" s="903">
        <v>34</v>
      </c>
      <c r="C51" s="847" t="s">
        <v>2431</v>
      </c>
      <c r="D51" s="971"/>
      <c r="E51" s="847"/>
      <c r="F51" s="847"/>
      <c r="G51" s="847"/>
      <c r="H51" s="895"/>
      <c r="I51" s="1009" t="str">
        <f>INDEX(TEMPLATE_NUMBER_POINT_FHD,B51,MATCH(TEMPLATE_SPHERE,TEMPLATE_SPHERE_LIST_FOR_NOTE,0))</f>
        <v>3</v>
      </c>
      <c r="J51" s="1009"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09">
        <f>INDEX(TEMPLATE_NOTE_POINT_FHD,B51,MATCH(TEMPLATE_SPHERE,TEMPLATE_SPHERE_LIST_FOR_NOTE,0))</f>
        <v>0</v>
      </c>
      <c r="L51" s="848" t="str">
        <f>IF(I51=0,"",I51)</f>
        <v>3</v>
      </c>
      <c r="M51" s="848" t="str">
        <f>IF(J51=0,"",J51)</f>
        <v>Валовая прибыль (убытки) от реализации товаров и оказания услуг по регулируемому виду деятельности</v>
      </c>
      <c r="N51" s="848" t="str">
        <f>IF(K51=0,"",K51)</f>
        <v/>
      </c>
      <c r="O51" s="961" t="s">
        <v>90</v>
      </c>
      <c r="P51" s="961"/>
      <c r="Q51" s="961"/>
      <c r="R51" s="961"/>
      <c r="S51" s="961"/>
      <c r="T51" s="847" t="s">
        <v>2432</v>
      </c>
      <c r="U51" s="847"/>
      <c r="V51" s="847"/>
      <c r="W51" s="847"/>
      <c r="X51" s="847"/>
      <c r="Y51" s="1004"/>
      <c r="Z51" s="850"/>
      <c r="AA51" s="853"/>
      <c r="AB51" s="853"/>
      <c r="AC51" s="853"/>
      <c r="AD51" s="850"/>
    </row>
    <row customHeight="1" ht="36">
      <c r="A52" s="849"/>
      <c r="B52" s="903">
        <v>35</v>
      </c>
      <c r="C52" s="847" t="s">
        <v>2325</v>
      </c>
      <c r="D52" s="971" t="s">
        <v>2325</v>
      </c>
      <c r="E52" s="847" t="s">
        <v>2325</v>
      </c>
      <c r="F52" s="847" t="s">
        <v>2325</v>
      </c>
      <c r="G52" s="847"/>
      <c r="H52" s="895"/>
      <c r="I52" s="1009" t="str">
        <f>INDEX(TEMPLATE_NUMBER_POINT_FHD,B52,MATCH(TEMPLATE_SPHERE,TEMPLATE_SPHERE_LIST_FOR_NOTE,0))</f>
        <v>4</v>
      </c>
      <c r="J52" s="1009" t="str">
        <f>INDEX(TEMPLATE_DATA_POINT_FHD,B52,MATCH(TEMPLATE_SPHERE,TEMPLATE_SPHERE_LIST_FOR_NOTE,0))</f>
        <v>Чистая прибыль, полученная от регулируемого вида деятельности, в том числе:</v>
      </c>
      <c r="K52" s="1009" t="str">
        <f>INDEX(TEMPLATE_NOTE_POINT_FHD,B52,MATCH(TEMPLATE_SPHERE,TEMPLATE_SPHERE_LIST_FOR_NOTE,0))</f>
        <v>Указывается общая сумма чистой прибыли, полученной от регулируемого вида деятельности.</v>
      </c>
      <c r="L52" s="848" t="str">
        <f>IF(I52=0,"",I52)</f>
        <v>4</v>
      </c>
      <c r="M52" s="848" t="str">
        <f>IF(J52=0,"",J52)</f>
        <v>Чистая прибыль, полученная от регулируемого вида деятельности, в том числе:</v>
      </c>
      <c r="N52" s="848" t="str">
        <f>IF(K52=0,"",K52)</f>
        <v>Указывается общая сумма чистой прибыли, полученной от регулируемого вида деятельности.</v>
      </c>
      <c r="O52" s="961" t="s">
        <v>91</v>
      </c>
      <c r="P52" s="961" t="s">
        <v>90</v>
      </c>
      <c r="Q52" s="961" t="s">
        <v>90</v>
      </c>
      <c r="R52" s="961" t="s">
        <v>90</v>
      </c>
      <c r="S52" s="961"/>
      <c r="T52" s="847" t="s">
        <v>2433</v>
      </c>
      <c r="U52" s="847" t="s">
        <v>2434</v>
      </c>
      <c r="V52" s="847" t="s">
        <v>2435</v>
      </c>
      <c r="W52" s="847" t="s">
        <v>2436</v>
      </c>
      <c r="X52" s="847"/>
      <c r="Y52" s="1004"/>
      <c r="Z52" s="850" t="s">
        <v>1010</v>
      </c>
      <c r="AA52" s="853" t="s">
        <v>1010</v>
      </c>
      <c r="AB52" s="853" t="s">
        <v>1010</v>
      </c>
      <c r="AC52" s="853" t="s">
        <v>1010</v>
      </c>
      <c r="AD52" s="850"/>
    </row>
    <row customHeight="1" ht="36">
      <c r="A53" s="849"/>
      <c r="B53" s="903">
        <v>36</v>
      </c>
      <c r="C53" s="847">
        <v>1</v>
      </c>
      <c r="D53" s="971"/>
      <c r="E53" s="847"/>
      <c r="F53" s="847"/>
      <c r="G53" s="847"/>
      <c r="H53" s="895"/>
      <c r="I53" s="1009" t="str">
        <f>INDEX(TEMPLATE_NUMBER_POINT_FHD,B53,MATCH(TEMPLATE_SPHERE,TEMPLATE_SPHERE_LIST_FOR_NOTE,0))</f>
        <v>4.1</v>
      </c>
      <c r="J53" s="10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9">
        <f>INDEX(TEMPLATE_NOTE_POINT_FHD,B53,MATCH(TEMPLATE_SPHERE,TEMPLATE_SPHERE_LIST_FOR_NOTE,0))</f>
        <v>0</v>
      </c>
      <c r="L53" s="848" t="str">
        <f>IF(I53=0,"",I53)</f>
        <v>4.1</v>
      </c>
      <c r="M53" s="84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8" t="str">
        <f>IF(K53=0,"",K53)</f>
        <v/>
      </c>
      <c r="O53" s="961" t="s">
        <v>1014</v>
      </c>
      <c r="P53" s="961" t="s">
        <v>342</v>
      </c>
      <c r="Q53" s="961" t="s">
        <v>342</v>
      </c>
      <c r="R53" s="961" t="s">
        <v>342</v>
      </c>
      <c r="S53" s="961"/>
      <c r="T53" s="847" t="s">
        <v>2437</v>
      </c>
      <c r="U53" s="847" t="s">
        <v>2437</v>
      </c>
      <c r="V53" s="847" t="s">
        <v>2437</v>
      </c>
      <c r="W53" s="847" t="s">
        <v>2437</v>
      </c>
      <c r="X53" s="847"/>
      <c r="Y53" s="1004"/>
      <c r="Z53" s="850"/>
      <c r="AA53" s="853"/>
      <c r="AB53" s="850"/>
      <c r="AC53" s="850"/>
      <c r="AD53" s="850"/>
    </row>
    <row customHeight="1" ht="18">
      <c r="A54" s="849"/>
      <c r="B54" s="903">
        <v>37</v>
      </c>
      <c r="C54" s="847" t="s">
        <v>2331</v>
      </c>
      <c r="D54" s="971" t="s">
        <v>2331</v>
      </c>
      <c r="E54" s="847" t="s">
        <v>2331</v>
      </c>
      <c r="F54" s="847" t="s">
        <v>2331</v>
      </c>
      <c r="G54" s="847"/>
      <c r="H54" s="895"/>
      <c r="I54" s="1009" t="str">
        <f>INDEX(TEMPLATE_NUMBER_POINT_FHD,B54,MATCH(TEMPLATE_SPHERE,TEMPLATE_SPHERE_LIST_FOR_NOTE,0))</f>
        <v>5</v>
      </c>
      <c r="J54" s="1009" t="str">
        <f>INDEX(TEMPLATE_DATA_POINT_FHD,B54,MATCH(TEMPLATE_SPHERE,TEMPLATE_SPHERE_LIST_FOR_NOTE,0))</f>
        <v>Изменение стоимости основных фондов, в том числе:</v>
      </c>
      <c r="K54" s="1009" t="str">
        <f>INDEX(TEMPLATE_NOTE_POINT_FHD,B54,MATCH(TEMPLATE_SPHERE,TEMPLATE_SPHERE_LIST_FOR_NOTE,0))</f>
        <v>Указывается общее изменение стоимости основных фондов.</v>
      </c>
      <c r="L54" s="848" t="str">
        <f>IF(I54=0,"",I54)</f>
        <v>5</v>
      </c>
      <c r="M54" s="848" t="str">
        <f>IF(J54=0,"",J54)</f>
        <v>Изменение стоимости основных фондов, в том числе:</v>
      </c>
      <c r="N54" s="848" t="str">
        <f>IF(K54=0,"",K54)</f>
        <v>Указывается общее изменение стоимости основных фондов.</v>
      </c>
      <c r="O54" s="961" t="s">
        <v>120</v>
      </c>
      <c r="P54" s="961" t="s">
        <v>91</v>
      </c>
      <c r="Q54" s="961" t="s">
        <v>91</v>
      </c>
      <c r="R54" s="961" t="s">
        <v>91</v>
      </c>
      <c r="S54" s="961"/>
      <c r="T54" s="847" t="s">
        <v>1012</v>
      </c>
      <c r="U54" s="847" t="s">
        <v>1012</v>
      </c>
      <c r="V54" s="847" t="s">
        <v>1012</v>
      </c>
      <c r="W54" s="847" t="s">
        <v>1012</v>
      </c>
      <c r="X54" s="847"/>
      <c r="Y54" s="1004"/>
      <c r="Z54" s="850" t="s">
        <v>1013</v>
      </c>
      <c r="AA54" s="850" t="s">
        <v>1013</v>
      </c>
      <c r="AB54" s="850" t="s">
        <v>1013</v>
      </c>
      <c r="AC54" s="850" t="s">
        <v>1013</v>
      </c>
      <c r="AD54" s="850"/>
    </row>
    <row customHeight="1" ht="36">
      <c r="A55" s="849"/>
      <c r="B55" s="903">
        <v>38</v>
      </c>
      <c r="C55" s="847">
        <v>1</v>
      </c>
      <c r="D55" s="971"/>
      <c r="E55" s="847"/>
      <c r="F55" s="847"/>
      <c r="G55" s="847"/>
      <c r="H55" s="895"/>
      <c r="I55" s="1009" t="str">
        <f>INDEX(TEMPLATE_NUMBER_POINT_FHD,B55,MATCH(TEMPLATE_SPHERE,TEMPLATE_SPHERE_LIST_FOR_NOTE,0))</f>
        <v>5.1</v>
      </c>
      <c r="J55" s="1009" t="str">
        <f>INDEX(TEMPLATE_DATA_POINT_FHD,B55,MATCH(TEMPLATE_SPHERE,TEMPLATE_SPHERE_LIST_FOR_NOTE,0))</f>
        <v>Изменение стоимости основных фондов за счет:</v>
      </c>
      <c r="K55" s="10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8" t="str">
        <f>IF(I55=0,"",I55)</f>
        <v>5.1</v>
      </c>
      <c r="M55" s="848" t="str">
        <f>IF(J55=0,"",J55)</f>
        <v>Изменение стоимости основных фондов за счет:</v>
      </c>
      <c r="N55" s="848" t="str">
        <f>IF(K55=0,"",K55)</f>
        <v>Указываются общее изменение стоимости основных фондов за счет их ввода в эксплуатацию и вывода из эксплуатации.</v>
      </c>
      <c r="O55" s="961" t="s">
        <v>331</v>
      </c>
      <c r="P55" s="961" t="s">
        <v>1014</v>
      </c>
      <c r="Q55" s="961" t="s">
        <v>1014</v>
      </c>
      <c r="R55" s="961" t="s">
        <v>1014</v>
      </c>
      <c r="S55" s="961"/>
      <c r="T55" s="848"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7" t="s">
        <v>2438</v>
      </c>
      <c r="V55" s="847" t="s">
        <v>2438</v>
      </c>
      <c r="W55" s="847" t="s">
        <v>2438</v>
      </c>
      <c r="X55" s="847"/>
      <c r="Y55" s="1004"/>
      <c r="Z55" s="850" t="s">
        <v>2439</v>
      </c>
      <c r="AA55" s="850" t="s">
        <v>2439</v>
      </c>
      <c r="AB55" s="850" t="s">
        <v>2439</v>
      </c>
      <c r="AC55" s="850" t="s">
        <v>2439</v>
      </c>
      <c r="AD55" s="850"/>
    </row>
    <row customHeight="1" ht="27">
      <c r="A56" s="849"/>
      <c r="B56" s="903">
        <v>39</v>
      </c>
      <c r="C56" s="847" t="s">
        <v>1335</v>
      </c>
      <c r="D56" s="971"/>
      <c r="E56" s="847"/>
      <c r="F56" s="847"/>
      <c r="G56" s="847"/>
      <c r="H56" s="895"/>
      <c r="I56" s="1009" t="str">
        <f>INDEX(TEMPLATE_NUMBER_POINT_FHD,B56,MATCH(TEMPLATE_SPHERE,TEMPLATE_SPHERE_LIST_FOR_NOTE,0))</f>
        <v>5.1.1</v>
      </c>
      <c r="J56" s="1009" t="str">
        <f>INDEX(TEMPLATE_DATA_POINT_FHD,B56,MATCH(TEMPLATE_SPHERE,TEMPLATE_SPHERE_LIST_FOR_NOTE,0))</f>
        <v>Изменения стоимости основных фондов за счет их ввода в эксплуатацию</v>
      </c>
      <c r="K56" s="1009" t="str">
        <f>INDEX(TEMPLATE_NOTE_POINT_FHD,B56,MATCH(TEMPLATE_SPHERE,TEMPLATE_SPHERE_LIST_FOR_NOTE,0))</f>
        <v>Указываются изменение стоимости основных фондов за счет их ввода в эксплуатацию.</v>
      </c>
      <c r="L56" s="848" t="str">
        <f>IF(I56=0,"",I56)</f>
        <v>5.1.1</v>
      </c>
      <c r="M56" s="848" t="str">
        <f>IF(J56=0,"",J56)</f>
        <v>Изменения стоимости основных фондов за счет их ввода в эксплуатацию</v>
      </c>
      <c r="N56" s="848" t="str">
        <f>IF(K56=0,"",K56)</f>
        <v>Указываются изменение стоимости основных фондов за счет их ввода в эксплуатацию.</v>
      </c>
      <c r="O56" s="961" t="s">
        <v>1456</v>
      </c>
      <c r="P56" s="961" t="s">
        <v>1017</v>
      </c>
      <c r="Q56" s="961" t="s">
        <v>1017</v>
      </c>
      <c r="R56" s="961" t="s">
        <v>1017</v>
      </c>
      <c r="S56" s="961"/>
      <c r="T56" s="848"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7" t="s">
        <v>2440</v>
      </c>
      <c r="V56" s="847" t="s">
        <v>2440</v>
      </c>
      <c r="W56" s="847" t="s">
        <v>2440</v>
      </c>
      <c r="X56" s="847"/>
      <c r="Y56" s="1004"/>
      <c r="Z56" s="850" t="s">
        <v>1019</v>
      </c>
      <c r="AA56" s="850" t="s">
        <v>1019</v>
      </c>
      <c r="AB56" s="850" t="s">
        <v>1019</v>
      </c>
      <c r="AC56" s="850" t="s">
        <v>1019</v>
      </c>
      <c r="AD56" s="850"/>
    </row>
    <row customHeight="1" ht="27">
      <c r="A57" s="849"/>
      <c r="B57" s="903">
        <v>40</v>
      </c>
      <c r="C57" s="847" t="s">
        <v>1337</v>
      </c>
      <c r="D57" s="971"/>
      <c r="E57" s="847"/>
      <c r="F57" s="847"/>
      <c r="G57" s="847"/>
      <c r="H57" s="895"/>
      <c r="I57" s="1009" t="str">
        <f>INDEX(TEMPLATE_NUMBER_POINT_FHD,B57,MATCH(TEMPLATE_SPHERE,TEMPLATE_SPHERE_LIST_FOR_NOTE,0))</f>
        <v>5.1.2</v>
      </c>
      <c r="J57" s="1009" t="str">
        <f>INDEX(TEMPLATE_DATA_POINT_FHD,B57,MATCH(TEMPLATE_SPHERE,TEMPLATE_SPHERE_LIST_FOR_NOTE,0))</f>
        <v>Изменения стоимости основных фондов за счет их вывода в эксплуатацию</v>
      </c>
      <c r="K57" s="1009" t="str">
        <f>INDEX(TEMPLATE_NOTE_POINT_FHD,B57,MATCH(TEMPLATE_SPHERE,TEMPLATE_SPHERE_LIST_FOR_NOTE,0))</f>
        <v>Указываются изменение стоимости основных фондов за счет их вывода из эксплуатации.</v>
      </c>
      <c r="L57" s="848" t="str">
        <f>IF(I57=0,"",I57)</f>
        <v>5.1.2</v>
      </c>
      <c r="M57" s="848" t="str">
        <f>IF(J57=0,"",J57)</f>
        <v>Изменения стоимости основных фондов за счет их вывода в эксплуатацию</v>
      </c>
      <c r="N57" s="848" t="str">
        <f>IF(K57=0,"",K57)</f>
        <v>Указываются изменение стоимости основных фондов за счет их вывода из эксплуатации.</v>
      </c>
      <c r="O57" s="961" t="s">
        <v>2441</v>
      </c>
      <c r="P57" s="961" t="s">
        <v>1020</v>
      </c>
      <c r="Q57" s="961" t="s">
        <v>1020</v>
      </c>
      <c r="R57" s="961" t="s">
        <v>1020</v>
      </c>
      <c r="S57" s="961"/>
      <c r="T57" s="848"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7" t="s">
        <v>2442</v>
      </c>
      <c r="V57" s="847" t="s">
        <v>2442</v>
      </c>
      <c r="W57" s="847" t="s">
        <v>2442</v>
      </c>
      <c r="X57" s="847"/>
      <c r="Y57" s="1004"/>
      <c r="Z57" s="850" t="s">
        <v>1022</v>
      </c>
      <c r="AA57" s="850" t="s">
        <v>1022</v>
      </c>
      <c r="AB57" s="850" t="s">
        <v>1022</v>
      </c>
      <c r="AC57" s="850" t="s">
        <v>1022</v>
      </c>
      <c r="AD57" s="850"/>
    </row>
    <row customHeight="1" ht="18">
      <c r="A58" s="849"/>
      <c r="B58" s="903">
        <v>41</v>
      </c>
      <c r="C58" s="847">
        <v>2</v>
      </c>
      <c r="D58" s="971"/>
      <c r="E58" s="847"/>
      <c r="F58" s="847"/>
      <c r="G58" s="847"/>
      <c r="H58" s="895"/>
      <c r="I58" s="1009" t="str">
        <f>INDEX(TEMPLATE_NUMBER_POINT_FHD,B58,MATCH(TEMPLATE_SPHERE,TEMPLATE_SPHERE_LIST_FOR_NOTE,0))</f>
        <v>5.2</v>
      </c>
      <c r="J58" s="1009" t="str">
        <f>INDEX(TEMPLATE_DATA_POINT_FHD,B58,MATCH(TEMPLATE_SPHERE,TEMPLATE_SPHERE_LIST_FOR_NOTE,0))</f>
        <v>Изменение стоимости основных фондов за счет их переоценки</v>
      </c>
      <c r="K58" s="1009">
        <f>INDEX(TEMPLATE_NOTE_POINT_FHD,B58,MATCH(TEMPLATE_SPHERE,TEMPLATE_SPHERE_LIST_FOR_NOTE,0))</f>
        <v>0</v>
      </c>
      <c r="L58" s="848" t="str">
        <f>IF(I58=0,"",I58)</f>
        <v>5.2</v>
      </c>
      <c r="M58" s="848" t="str">
        <f>IF(J58=0,"",J58)</f>
        <v>Изменение стоимости основных фондов за счет их переоценки</v>
      </c>
      <c r="N58" s="848" t="str">
        <f>IF(K58=0,"",K58)</f>
        <v/>
      </c>
      <c r="O58" s="961" t="s">
        <v>1146</v>
      </c>
      <c r="P58" s="961" t="s">
        <v>1056</v>
      </c>
      <c r="Q58" s="961" t="s">
        <v>1056</v>
      </c>
      <c r="R58" s="961" t="s">
        <v>1056</v>
      </c>
      <c r="S58" s="961"/>
      <c r="T58" s="848"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7" t="s">
        <v>2443</v>
      </c>
      <c r="V58" s="847" t="s">
        <v>2443</v>
      </c>
      <c r="W58" s="847" t="s">
        <v>2443</v>
      </c>
      <c r="X58" s="847"/>
      <c r="Y58" s="1004"/>
      <c r="Z58" s="850"/>
      <c r="AA58" s="853"/>
      <c r="AB58" s="850"/>
      <c r="AC58" s="850"/>
      <c r="AD58" s="850"/>
    </row>
    <row customHeight="1" ht="36">
      <c r="A59" s="849"/>
      <c r="B59" s="903">
        <v>42</v>
      </c>
      <c r="C59" s="847">
        <v>3</v>
      </c>
      <c r="D59" s="971" t="s">
        <v>2431</v>
      </c>
      <c r="E59" s="847" t="s">
        <v>2431</v>
      </c>
      <c r="F59" s="847" t="s">
        <v>2431</v>
      </c>
      <c r="G59" s="847"/>
      <c r="H59" s="895"/>
      <c r="I59" s="1009">
        <f>INDEX(TEMPLATE_NUMBER_POINT_FHD,B59,MATCH(TEMPLATE_SPHERE,TEMPLATE_SPHERE_LIST_FOR_NOTE,0))</f>
        <v>0</v>
      </c>
      <c r="J59" s="1009">
        <f>INDEX(TEMPLATE_DATA_POINT_FHD,B59,MATCH(TEMPLATE_SPHERE,TEMPLATE_SPHERE_LIST_FOR_NOTE,0))</f>
        <v>0</v>
      </c>
      <c r="K59" s="1009">
        <f>INDEX(TEMPLATE_NOTE_POINT_FHD,B59,MATCH(TEMPLATE_SPHERE,TEMPLATE_SPHERE_LIST_FOR_NOTE,0))</f>
        <v>0</v>
      </c>
      <c r="L59" s="848" t="str">
        <f>IF(I59=0,"",I59)</f>
        <v/>
      </c>
      <c r="M59" s="848" t="str">
        <f>IF(J59=0,"",J59)</f>
        <v/>
      </c>
      <c r="N59" s="848" t="str">
        <f>IF(K59=0,"",K59)</f>
        <v/>
      </c>
      <c r="O59" s="961"/>
      <c r="P59" s="961" t="s">
        <v>120</v>
      </c>
      <c r="Q59" s="961" t="s">
        <v>120</v>
      </c>
      <c r="R59" s="961" t="s">
        <v>120</v>
      </c>
      <c r="S59" s="961"/>
      <c r="T59" s="847"/>
      <c r="U59" s="847" t="s">
        <v>2444</v>
      </c>
      <c r="V59" s="847" t="s">
        <v>2445</v>
      </c>
      <c r="W59" s="847" t="s">
        <v>2446</v>
      </c>
      <c r="X59" s="847"/>
      <c r="Y59" s="1004"/>
      <c r="Z59" s="850"/>
      <c r="AA59" s="853"/>
      <c r="AB59" s="850"/>
      <c r="AC59" s="850"/>
      <c r="AD59" s="850"/>
    </row>
    <row customHeight="1" ht="81">
      <c r="A60" s="849"/>
      <c r="B60" s="903">
        <v>43</v>
      </c>
      <c r="C60" s="847" t="s">
        <v>2447</v>
      </c>
      <c r="D60" s="971" t="s">
        <v>2447</v>
      </c>
      <c r="E60" s="847" t="s">
        <v>2447</v>
      </c>
      <c r="F60" s="847" t="s">
        <v>2447</v>
      </c>
      <c r="G60" s="847"/>
      <c r="H60" s="895"/>
      <c r="I60" s="1009" t="str">
        <f>INDEX(TEMPLATE_NUMBER_POINT_FHD,B60,MATCH(TEMPLATE_SPHERE,TEMPLATE_SPHERE_LIST_FOR_NOTE,0))</f>
        <v>6</v>
      </c>
      <c r="J60" s="10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9"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8" t="str">
        <f>IF(I60=0,"",I60)</f>
        <v>6</v>
      </c>
      <c r="M60" s="848" t="str">
        <f>IF(J60=0,"",J60)</f>
        <v>Годовая бухгалтерская (финансовая) отчетность, включая бухгалтерский баланс и приложения к нему</v>
      </c>
      <c r="N60" s="848"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1" t="s">
        <v>92</v>
      </c>
      <c r="P60" s="961" t="s">
        <v>92</v>
      </c>
      <c r="Q60" s="961" t="s">
        <v>92</v>
      </c>
      <c r="R60" s="961" t="s">
        <v>92</v>
      </c>
      <c r="S60" s="961"/>
      <c r="T60" s="847" t="s">
        <v>890</v>
      </c>
      <c r="U60" s="847" t="s">
        <v>890</v>
      </c>
      <c r="V60" s="847" t="s">
        <v>890</v>
      </c>
      <c r="W60" s="847" t="s">
        <v>890</v>
      </c>
      <c r="X60" s="847"/>
      <c r="Y60" s="1004"/>
      <c r="Z60" s="850" t="s">
        <v>2448</v>
      </c>
      <c r="AA60" s="853" t="s">
        <v>2449</v>
      </c>
      <c r="AB60" s="850" t="s">
        <v>2450</v>
      </c>
      <c r="AC60" s="850" t="s">
        <v>2449</v>
      </c>
      <c r="AD60" s="850"/>
    </row>
    <row customHeight="1" ht="9">
      <c r="A61" s="849"/>
      <c r="B61" s="903">
        <v>44</v>
      </c>
      <c r="C61" s="847"/>
      <c r="D61" s="971" t="s">
        <v>2451</v>
      </c>
      <c r="E61" s="847"/>
      <c r="F61" s="847"/>
      <c r="G61" s="847"/>
      <c r="H61" s="895"/>
      <c r="I61" s="1009">
        <f>INDEX(TEMPLATE_NUMBER_POINT_FHD,B61,MATCH(TEMPLATE_SPHERE,TEMPLATE_SPHERE_LIST_FOR_NOTE,0))</f>
        <v>0</v>
      </c>
      <c r="J61" s="1009">
        <f>INDEX(TEMPLATE_DATA_POINT_FHD,B61,MATCH(TEMPLATE_SPHERE,TEMPLATE_SPHERE_LIST_FOR_NOTE,0))</f>
        <v>0</v>
      </c>
      <c r="K61" s="1009">
        <f>INDEX(TEMPLATE_NOTE_POINT_FHD,B61,MATCH(TEMPLATE_SPHERE,TEMPLATE_SPHERE_LIST_FOR_NOTE,0))</f>
        <v>0</v>
      </c>
      <c r="L61" s="848" t="str">
        <f>IF(I61=0,"",I61)</f>
        <v/>
      </c>
      <c r="M61" s="848" t="str">
        <f>IF(J61=0,"",J61)</f>
        <v/>
      </c>
      <c r="N61" s="848" t="str">
        <f>IF(K61=0,"",K61)</f>
        <v/>
      </c>
      <c r="O61" s="961"/>
      <c r="P61" s="961" t="s">
        <v>93</v>
      </c>
      <c r="Q61" s="961"/>
      <c r="R61" s="961"/>
      <c r="S61" s="961"/>
      <c r="T61" s="847"/>
      <c r="U61" s="847" t="s">
        <v>2452</v>
      </c>
      <c r="V61" s="847"/>
      <c r="W61" s="847"/>
      <c r="X61" s="847"/>
      <c r="Y61" s="1004"/>
      <c r="Z61" s="850"/>
      <c r="AA61" s="853"/>
      <c r="AB61" s="850"/>
      <c r="AC61" s="850"/>
      <c r="AD61" s="850"/>
    </row>
    <row customHeight="1" ht="9">
      <c r="A62" s="849"/>
      <c r="B62" s="903">
        <v>45</v>
      </c>
      <c r="C62" s="847"/>
      <c r="D62" s="971" t="s">
        <v>2453</v>
      </c>
      <c r="E62" s="847"/>
      <c r="F62" s="847"/>
      <c r="G62" s="847"/>
      <c r="H62" s="895"/>
      <c r="I62" s="1009">
        <f>INDEX(TEMPLATE_NUMBER_POINT_FHD,B62,MATCH(TEMPLATE_SPHERE,TEMPLATE_SPHERE_LIST_FOR_NOTE,0))</f>
        <v>0</v>
      </c>
      <c r="J62" s="1009">
        <f>INDEX(TEMPLATE_DATA_POINT_FHD,B62,MATCH(TEMPLATE_SPHERE,TEMPLATE_SPHERE_LIST_FOR_NOTE,0))</f>
        <v>0</v>
      </c>
      <c r="K62" s="1009">
        <f>INDEX(TEMPLATE_NOTE_POINT_FHD,B62,MATCH(TEMPLATE_SPHERE,TEMPLATE_SPHERE_LIST_FOR_NOTE,0))</f>
        <v>0</v>
      </c>
      <c r="L62" s="848" t="str">
        <f>IF(I62=0,"",I62)</f>
        <v/>
      </c>
      <c r="M62" s="848" t="str">
        <f>IF(J62=0,"",J62)</f>
        <v/>
      </c>
      <c r="N62" s="848" t="str">
        <f>IF(K62=0,"",K62)</f>
        <v/>
      </c>
      <c r="O62" s="961"/>
      <c r="P62" s="961" t="s">
        <v>121</v>
      </c>
      <c r="Q62" s="961"/>
      <c r="R62" s="961"/>
      <c r="S62" s="961"/>
      <c r="T62" s="847"/>
      <c r="U62" s="847" t="s">
        <v>2454</v>
      </c>
      <c r="V62" s="847"/>
      <c r="W62" s="847"/>
      <c r="X62" s="847"/>
      <c r="Y62" s="1004"/>
      <c r="Z62" s="850"/>
      <c r="AA62" s="853"/>
      <c r="AB62" s="850"/>
      <c r="AC62" s="850"/>
      <c r="AD62" s="850"/>
    </row>
    <row customHeight="1" ht="18">
      <c r="A63" s="849"/>
      <c r="B63" s="903">
        <v>46</v>
      </c>
      <c r="C63" s="847"/>
      <c r="D63" s="971" t="s">
        <v>2455</v>
      </c>
      <c r="E63" s="847"/>
      <c r="F63" s="847"/>
      <c r="G63" s="847"/>
      <c r="H63" s="895"/>
      <c r="I63" s="1009">
        <f>INDEX(TEMPLATE_NUMBER_POINT_FHD,B63,MATCH(TEMPLATE_SPHERE,TEMPLATE_SPHERE_LIST_FOR_NOTE,0))</f>
        <v>0</v>
      </c>
      <c r="J63" s="1009">
        <f>INDEX(TEMPLATE_DATA_POINT_FHD,B63,MATCH(TEMPLATE_SPHERE,TEMPLATE_SPHERE_LIST_FOR_NOTE,0))</f>
        <v>0</v>
      </c>
      <c r="K63" s="1009">
        <f>INDEX(TEMPLATE_NOTE_POINT_FHD,B63,MATCH(TEMPLATE_SPHERE,TEMPLATE_SPHERE_LIST_FOR_NOTE,0))</f>
        <v>0</v>
      </c>
      <c r="L63" s="848" t="str">
        <f>IF(I63=0,"",I63)</f>
        <v/>
      </c>
      <c r="M63" s="848" t="str">
        <f>IF(J63=0,"",J63)</f>
        <v/>
      </c>
      <c r="N63" s="848" t="str">
        <f>IF(K63=0,"",K63)</f>
        <v/>
      </c>
      <c r="O63" s="961"/>
      <c r="P63" s="961" t="s">
        <v>168</v>
      </c>
      <c r="Q63" s="961"/>
      <c r="R63" s="961"/>
      <c r="S63" s="961"/>
      <c r="T63" s="847"/>
      <c r="U63" s="847" t="s">
        <v>2456</v>
      </c>
      <c r="V63" s="847"/>
      <c r="W63" s="847"/>
      <c r="X63" s="847"/>
      <c r="Y63" s="1004"/>
      <c r="Z63" s="850"/>
      <c r="AA63" s="853"/>
      <c r="AB63" s="850"/>
      <c r="AC63" s="850"/>
      <c r="AD63" s="850"/>
    </row>
    <row customHeight="1" ht="18">
      <c r="A64" s="849"/>
      <c r="B64" s="903">
        <v>47</v>
      </c>
      <c r="C64" s="847"/>
      <c r="D64" s="971" t="s">
        <v>2457</v>
      </c>
      <c r="E64" s="847"/>
      <c r="F64" s="847"/>
      <c r="G64" s="847"/>
      <c r="H64" s="895"/>
      <c r="I64" s="1009">
        <f>INDEX(TEMPLATE_NUMBER_POINT_FHD,B64,MATCH(TEMPLATE_SPHERE,TEMPLATE_SPHERE_LIST_FOR_NOTE,0))</f>
        <v>0</v>
      </c>
      <c r="J64" s="1009">
        <f>INDEX(TEMPLATE_DATA_POINT_FHD,B64,MATCH(TEMPLATE_SPHERE,TEMPLATE_SPHERE_LIST_FOR_NOTE,0))</f>
        <v>0</v>
      </c>
      <c r="K64" s="1009">
        <f>INDEX(TEMPLATE_NOTE_POINT_FHD,B64,MATCH(TEMPLATE_SPHERE,TEMPLATE_SPHERE_LIST_FOR_NOTE,0))</f>
        <v>0</v>
      </c>
      <c r="L64" s="848" t="str">
        <f>IF(I64=0,"",I64)</f>
        <v/>
      </c>
      <c r="M64" s="848" t="str">
        <f>IF(J64=0,"",J64)</f>
        <v/>
      </c>
      <c r="N64" s="848" t="str">
        <f>IF(K64=0,"",K64)</f>
        <v/>
      </c>
      <c r="O64" s="961"/>
      <c r="P64" s="961" t="s">
        <v>169</v>
      </c>
      <c r="Q64" s="961"/>
      <c r="R64" s="961"/>
      <c r="S64" s="961"/>
      <c r="T64" s="847"/>
      <c r="U64" s="847" t="s">
        <v>2458</v>
      </c>
      <c r="V64" s="847"/>
      <c r="W64" s="847"/>
      <c r="X64" s="847"/>
      <c r="Y64" s="1004"/>
      <c r="Z64" s="850"/>
      <c r="AA64" s="853" t="s">
        <v>2459</v>
      </c>
      <c r="AB64" s="850"/>
      <c r="AC64" s="850"/>
      <c r="AD64" s="850"/>
    </row>
    <row customHeight="1" ht="18">
      <c r="A65" s="849"/>
      <c r="B65" s="903">
        <v>48</v>
      </c>
      <c r="C65" s="847"/>
      <c r="D65" s="971"/>
      <c r="E65" s="847"/>
      <c r="F65" s="847"/>
      <c r="G65" s="847"/>
      <c r="H65" s="895"/>
      <c r="I65" s="1009">
        <f>INDEX(TEMPLATE_NUMBER_POINT_FHD,B65,MATCH(TEMPLATE_SPHERE,TEMPLATE_SPHERE_LIST_FOR_NOTE,0))</f>
        <v>0</v>
      </c>
      <c r="J65" s="1009">
        <f>INDEX(TEMPLATE_DATA_POINT_FHD,B65,MATCH(TEMPLATE_SPHERE,TEMPLATE_SPHERE_LIST_FOR_NOTE,0))</f>
        <v>0</v>
      </c>
      <c r="K65" s="1009">
        <f>INDEX(TEMPLATE_NOTE_POINT_FHD,B65,MATCH(TEMPLATE_SPHERE,TEMPLATE_SPHERE_LIST_FOR_NOTE,0))</f>
        <v>0</v>
      </c>
      <c r="L65" s="848" t="str">
        <f>IF(I65=0,"",I65)</f>
        <v/>
      </c>
      <c r="M65" s="848" t="str">
        <f>IF(J65=0,"",J65)</f>
        <v/>
      </c>
      <c r="N65" s="848" t="str">
        <f>IF(K65=0,"",K65)</f>
        <v/>
      </c>
      <c r="O65" s="961"/>
      <c r="P65" s="961" t="s">
        <v>2372</v>
      </c>
      <c r="Q65" s="961"/>
      <c r="R65" s="961"/>
      <c r="S65" s="961"/>
      <c r="T65" s="847"/>
      <c r="U65" s="847" t="s">
        <v>2460</v>
      </c>
      <c r="V65" s="847"/>
      <c r="W65" s="847"/>
      <c r="X65" s="847"/>
      <c r="Y65" s="1004"/>
      <c r="Z65" s="850"/>
      <c r="AA65" s="853"/>
      <c r="AB65" s="850"/>
      <c r="AC65" s="850"/>
      <c r="AD65" s="850"/>
    </row>
    <row customHeight="1" ht="18">
      <c r="A66" s="849"/>
      <c r="B66" s="903">
        <v>49</v>
      </c>
      <c r="C66" s="847"/>
      <c r="D66" s="971"/>
      <c r="E66" s="847"/>
      <c r="F66" s="847"/>
      <c r="G66" s="847"/>
      <c r="H66" s="895"/>
      <c r="I66" s="1009">
        <f>INDEX(TEMPLATE_NUMBER_POINT_FHD,B66,MATCH(TEMPLATE_SPHERE,TEMPLATE_SPHERE_LIST_FOR_NOTE,0))</f>
        <v>0</v>
      </c>
      <c r="J66" s="1009">
        <f>INDEX(TEMPLATE_DATA_POINT_FHD,B66,MATCH(TEMPLATE_SPHERE,TEMPLATE_SPHERE_LIST_FOR_NOTE,0))</f>
        <v>0</v>
      </c>
      <c r="K66" s="1009">
        <f>INDEX(TEMPLATE_NOTE_POINT_FHD,B66,MATCH(TEMPLATE_SPHERE,TEMPLATE_SPHERE_LIST_FOR_NOTE,0))</f>
        <v>0</v>
      </c>
      <c r="L66" s="848" t="str">
        <f>IF(I66=0,"",I66)</f>
        <v/>
      </c>
      <c r="M66" s="848" t="str">
        <f>IF(J66=0,"",J66)</f>
        <v/>
      </c>
      <c r="N66" s="848" t="str">
        <f>IF(K66=0,"",K66)</f>
        <v/>
      </c>
      <c r="O66" s="961"/>
      <c r="P66" s="961" t="s">
        <v>2376</v>
      </c>
      <c r="Q66" s="961"/>
      <c r="R66" s="961"/>
      <c r="S66" s="961"/>
      <c r="T66" s="847"/>
      <c r="U66" s="847" t="s">
        <v>2461</v>
      </c>
      <c r="V66" s="847"/>
      <c r="W66" s="847"/>
      <c r="X66" s="847"/>
      <c r="Y66" s="1004"/>
      <c r="Z66" s="850"/>
      <c r="AA66" s="853"/>
      <c r="AB66" s="850"/>
      <c r="AC66" s="850"/>
      <c r="AD66" s="850"/>
    </row>
    <row customHeight="1" ht="27">
      <c r="A67" s="849"/>
      <c r="B67" s="903">
        <v>50</v>
      </c>
      <c r="C67" s="847"/>
      <c r="D67" s="971"/>
      <c r="E67" s="847"/>
      <c r="F67" s="847"/>
      <c r="G67" s="847"/>
      <c r="H67" s="895"/>
      <c r="I67" s="1009">
        <f>INDEX(TEMPLATE_NUMBER_POINT_FHD,B67,MATCH(TEMPLATE_SPHERE,TEMPLATE_SPHERE_LIST_FOR_NOTE,0))</f>
        <v>0</v>
      </c>
      <c r="J67" s="1009">
        <f>INDEX(TEMPLATE_DATA_POINT_FHD,B67,MATCH(TEMPLATE_SPHERE,TEMPLATE_SPHERE_LIST_FOR_NOTE,0))</f>
        <v>0</v>
      </c>
      <c r="K67" s="1009">
        <f>INDEX(TEMPLATE_NOTE_POINT_FHD,B67,MATCH(TEMPLATE_SPHERE,TEMPLATE_SPHERE_LIST_FOR_NOTE,0))</f>
        <v>0</v>
      </c>
      <c r="L67" s="848" t="str">
        <f>IF(I67=0,"",I67)</f>
        <v/>
      </c>
      <c r="M67" s="848" t="str">
        <f>IF(J67=0,"",J67)</f>
        <v/>
      </c>
      <c r="N67" s="848" t="str">
        <f>IF(K67=0,"",K67)</f>
        <v/>
      </c>
      <c r="O67" s="961"/>
      <c r="P67" s="961" t="s">
        <v>2462</v>
      </c>
      <c r="Q67" s="961"/>
      <c r="R67" s="961"/>
      <c r="S67" s="961"/>
      <c r="T67" s="847"/>
      <c r="U67" s="847" t="s">
        <v>2463</v>
      </c>
      <c r="V67" s="847"/>
      <c r="W67" s="847"/>
      <c r="X67" s="847"/>
      <c r="Y67" s="1004"/>
      <c r="Z67" s="850"/>
      <c r="AA67" s="853"/>
      <c r="AB67" s="850"/>
      <c r="AC67" s="850"/>
      <c r="AD67" s="850"/>
    </row>
    <row customHeight="1" ht="27">
      <c r="A68" s="849"/>
      <c r="B68" s="903">
        <v>51</v>
      </c>
      <c r="C68" s="847"/>
      <c r="D68" s="971"/>
      <c r="E68" s="847"/>
      <c r="F68" s="847"/>
      <c r="G68" s="847"/>
      <c r="H68" s="895"/>
      <c r="I68" s="1009">
        <f>INDEX(TEMPLATE_NUMBER_POINT_FHD,B68,MATCH(TEMPLATE_SPHERE,TEMPLATE_SPHERE_LIST_FOR_NOTE,0))</f>
        <v>0</v>
      </c>
      <c r="J68" s="1009">
        <f>INDEX(TEMPLATE_DATA_POINT_FHD,B68,MATCH(TEMPLATE_SPHERE,TEMPLATE_SPHERE_LIST_FOR_NOTE,0))</f>
        <v>0</v>
      </c>
      <c r="K68" s="1009">
        <f>INDEX(TEMPLATE_NOTE_POINT_FHD,B68,MATCH(TEMPLATE_SPHERE,TEMPLATE_SPHERE_LIST_FOR_NOTE,0))</f>
        <v>0</v>
      </c>
      <c r="L68" s="848" t="str">
        <f>IF(I68=0,"",I68)</f>
        <v/>
      </c>
      <c r="M68" s="848" t="str">
        <f>IF(J68=0,"",J68)</f>
        <v/>
      </c>
      <c r="N68" s="848" t="str">
        <f>IF(K68=0,"",K68)</f>
        <v/>
      </c>
      <c r="O68" s="961"/>
      <c r="P68" s="961" t="s">
        <v>2464</v>
      </c>
      <c r="Q68" s="961"/>
      <c r="R68" s="961"/>
      <c r="S68" s="961"/>
      <c r="T68" s="847"/>
      <c r="U68" s="847" t="s">
        <v>2465</v>
      </c>
      <c r="V68" s="847"/>
      <c r="W68" s="847"/>
      <c r="X68" s="847"/>
      <c r="Y68" s="1004"/>
      <c r="Z68" s="850"/>
      <c r="AA68" s="853"/>
      <c r="AB68" s="850"/>
      <c r="AC68" s="850"/>
      <c r="AD68" s="850"/>
    </row>
    <row customHeight="1" ht="9">
      <c r="A69" s="849"/>
      <c r="B69" s="903">
        <v>52</v>
      </c>
      <c r="C69" s="847"/>
      <c r="D69" s="971" t="s">
        <v>2466</v>
      </c>
      <c r="E69" s="847"/>
      <c r="F69" s="847"/>
      <c r="G69" s="847"/>
      <c r="H69" s="895"/>
      <c r="I69" s="1009">
        <f>INDEX(TEMPLATE_NUMBER_POINT_FHD,B69,MATCH(TEMPLATE_SPHERE,TEMPLATE_SPHERE_LIST_FOR_NOTE,0))</f>
        <v>0</v>
      </c>
      <c r="J69" s="1009">
        <f>INDEX(TEMPLATE_DATA_POINT_FHD,B69,MATCH(TEMPLATE_SPHERE,TEMPLATE_SPHERE_LIST_FOR_NOTE,0))</f>
        <v>0</v>
      </c>
      <c r="K69" s="1009">
        <f>INDEX(TEMPLATE_NOTE_POINT_FHD,B69,MATCH(TEMPLATE_SPHERE,TEMPLATE_SPHERE_LIST_FOR_NOTE,0))</f>
        <v>0</v>
      </c>
      <c r="L69" s="848" t="str">
        <f>IF(I69=0,"",I69)</f>
        <v/>
      </c>
      <c r="M69" s="848" t="str">
        <f>IF(J69=0,"",J69)</f>
        <v/>
      </c>
      <c r="N69" s="848" t="str">
        <f>IF(K69=0,"",K69)</f>
        <v/>
      </c>
      <c r="O69" s="961"/>
      <c r="P69" s="961" t="s">
        <v>170</v>
      </c>
      <c r="Q69" s="961"/>
      <c r="R69" s="961"/>
      <c r="S69" s="961"/>
      <c r="T69" s="847"/>
      <c r="U69" s="847" t="s">
        <v>2467</v>
      </c>
      <c r="V69" s="847"/>
      <c r="W69" s="847"/>
      <c r="X69" s="847"/>
      <c r="Y69" s="1004"/>
      <c r="Z69" s="850"/>
      <c r="AA69" s="853"/>
      <c r="AB69" s="850"/>
      <c r="AC69" s="850"/>
      <c r="AD69" s="850"/>
    </row>
    <row customHeight="1" ht="27">
      <c r="A70" s="849"/>
      <c r="B70" s="903">
        <v>53</v>
      </c>
      <c r="C70" s="847"/>
      <c r="D70" s="971"/>
      <c r="E70" s="847" t="s">
        <v>2451</v>
      </c>
      <c r="F70" s="847"/>
      <c r="G70" s="847"/>
      <c r="H70" s="895"/>
      <c r="I70" s="1009">
        <f>INDEX(TEMPLATE_NUMBER_POINT_FHD,B70,MATCH(TEMPLATE_SPHERE,TEMPLATE_SPHERE_LIST_FOR_NOTE,0))</f>
        <v>0</v>
      </c>
      <c r="J70" s="1009">
        <f>INDEX(TEMPLATE_DATA_POINT_FHD,B70,MATCH(TEMPLATE_SPHERE,TEMPLATE_SPHERE_LIST_FOR_NOTE,0))</f>
        <v>0</v>
      </c>
      <c r="K70" s="1009">
        <f>INDEX(TEMPLATE_NOTE_POINT_FHD,B70,MATCH(TEMPLATE_SPHERE,TEMPLATE_SPHERE_LIST_FOR_NOTE,0))</f>
        <v>0</v>
      </c>
      <c r="L70" s="848" t="str">
        <f>IF(I70=0,"",I70)</f>
        <v/>
      </c>
      <c r="M70" s="848" t="str">
        <f>IF(J70=0,"",J70)</f>
        <v/>
      </c>
      <c r="N70" s="848" t="str">
        <f>IF(K70=0,"",K70)</f>
        <v/>
      </c>
      <c r="O70" s="961"/>
      <c r="P70" s="961"/>
      <c r="Q70" s="961" t="s">
        <v>93</v>
      </c>
      <c r="R70" s="961"/>
      <c r="S70" s="961"/>
      <c r="T70" s="847"/>
      <c r="U70" s="847"/>
      <c r="V70" s="847" t="s">
        <v>2468</v>
      </c>
      <c r="W70" s="847"/>
      <c r="X70" s="847"/>
      <c r="Y70" s="1004"/>
      <c r="Z70" s="850"/>
      <c r="AA70" s="853"/>
      <c r="AB70" s="850"/>
      <c r="AC70" s="850"/>
      <c r="AD70" s="850"/>
    </row>
    <row customHeight="1" ht="36">
      <c r="A71" s="849"/>
      <c r="B71" s="903">
        <v>54</v>
      </c>
      <c r="C71" s="847"/>
      <c r="D71" s="971"/>
      <c r="E71" s="847" t="s">
        <v>2453</v>
      </c>
      <c r="F71" s="847"/>
      <c r="G71" s="847"/>
      <c r="H71" s="895"/>
      <c r="I71" s="1009">
        <f>INDEX(TEMPLATE_NUMBER_POINT_FHD,B71,MATCH(TEMPLATE_SPHERE,TEMPLATE_SPHERE_LIST_FOR_NOTE,0))</f>
        <v>0</v>
      </c>
      <c r="J71" s="1009">
        <f>INDEX(TEMPLATE_DATA_POINT_FHD,B71,MATCH(TEMPLATE_SPHERE,TEMPLATE_SPHERE_LIST_FOR_NOTE,0))</f>
        <v>0</v>
      </c>
      <c r="K71" s="1009">
        <f>INDEX(TEMPLATE_NOTE_POINT_FHD,B71,MATCH(TEMPLATE_SPHERE,TEMPLATE_SPHERE_LIST_FOR_NOTE,0))</f>
        <v>0</v>
      </c>
      <c r="L71" s="848" t="str">
        <f>IF(I71=0,"",I71)</f>
        <v/>
      </c>
      <c r="M71" s="848" t="str">
        <f>IF(J71=0,"",J71)</f>
        <v/>
      </c>
      <c r="N71" s="848" t="str">
        <f>IF(K71=0,"",K71)</f>
        <v/>
      </c>
      <c r="O71" s="961"/>
      <c r="P71" s="961"/>
      <c r="Q71" s="961" t="s">
        <v>121</v>
      </c>
      <c r="R71" s="961"/>
      <c r="S71" s="961"/>
      <c r="T71" s="847"/>
      <c r="U71" s="847"/>
      <c r="V71" s="847" t="s">
        <v>2469</v>
      </c>
      <c r="W71" s="847"/>
      <c r="X71" s="847"/>
      <c r="Y71" s="1004"/>
      <c r="Z71" s="850"/>
      <c r="AA71" s="853"/>
      <c r="AB71" s="850"/>
      <c r="AC71" s="850"/>
      <c r="AD71" s="850"/>
    </row>
    <row customHeight="1" ht="27">
      <c r="A72" s="849"/>
      <c r="B72" s="903">
        <v>55</v>
      </c>
      <c r="C72" s="847"/>
      <c r="D72" s="971"/>
      <c r="E72" s="847" t="s">
        <v>2455</v>
      </c>
      <c r="F72" s="847"/>
      <c r="G72" s="847"/>
      <c r="H72" s="895"/>
      <c r="I72" s="1009">
        <f>INDEX(TEMPLATE_NUMBER_POINT_FHD,B72,MATCH(TEMPLATE_SPHERE,TEMPLATE_SPHERE_LIST_FOR_NOTE,0))</f>
        <v>0</v>
      </c>
      <c r="J72" s="1009">
        <f>INDEX(TEMPLATE_DATA_POINT_FHD,B72,MATCH(TEMPLATE_SPHERE,TEMPLATE_SPHERE_LIST_FOR_NOTE,0))</f>
        <v>0</v>
      </c>
      <c r="K72" s="1009">
        <f>INDEX(TEMPLATE_NOTE_POINT_FHD,B72,MATCH(TEMPLATE_SPHERE,TEMPLATE_SPHERE_LIST_FOR_NOTE,0))</f>
        <v>0</v>
      </c>
      <c r="L72" s="848" t="str">
        <f>IF(I72=0,"",I72)</f>
        <v/>
      </c>
      <c r="M72" s="848" t="str">
        <f>IF(J72=0,"",J72)</f>
        <v/>
      </c>
      <c r="N72" s="848" t="str">
        <f>IF(K72=0,"",K72)</f>
        <v/>
      </c>
      <c r="O72" s="961"/>
      <c r="P72" s="961"/>
      <c r="Q72" s="961" t="s">
        <v>168</v>
      </c>
      <c r="R72" s="961"/>
      <c r="S72" s="961"/>
      <c r="T72" s="847"/>
      <c r="U72" s="847"/>
      <c r="V72" s="847" t="s">
        <v>2470</v>
      </c>
      <c r="W72" s="847"/>
      <c r="X72" s="847"/>
      <c r="Y72" s="1004"/>
      <c r="Z72" s="850"/>
      <c r="AA72" s="853"/>
      <c r="AB72" s="850"/>
      <c r="AC72" s="850"/>
      <c r="AD72" s="850"/>
    </row>
    <row customHeight="1" ht="36">
      <c r="A73" s="849"/>
      <c r="B73" s="903">
        <v>56</v>
      </c>
      <c r="C73" s="847"/>
      <c r="D73" s="971"/>
      <c r="E73" s="847" t="s">
        <v>2457</v>
      </c>
      <c r="F73" s="847"/>
      <c r="G73" s="847"/>
      <c r="H73" s="895"/>
      <c r="I73" s="1009">
        <f>INDEX(TEMPLATE_NUMBER_POINT_FHD,B73,MATCH(TEMPLATE_SPHERE,TEMPLATE_SPHERE_LIST_FOR_NOTE,0))</f>
        <v>0</v>
      </c>
      <c r="J73" s="1009">
        <f>INDEX(TEMPLATE_DATA_POINT_FHD,B73,MATCH(TEMPLATE_SPHERE,TEMPLATE_SPHERE_LIST_FOR_NOTE,0))</f>
        <v>0</v>
      </c>
      <c r="K73" s="1009">
        <f>INDEX(TEMPLATE_NOTE_POINT_FHD,B73,MATCH(TEMPLATE_SPHERE,TEMPLATE_SPHERE_LIST_FOR_NOTE,0))</f>
        <v>0</v>
      </c>
      <c r="L73" s="848" t="str">
        <f>IF(I73=0,"",I73)</f>
        <v/>
      </c>
      <c r="M73" s="848" t="str">
        <f>IF(J73=0,"",J73)</f>
        <v/>
      </c>
      <c r="N73" s="848" t="str">
        <f>IF(K73=0,"",K73)</f>
        <v/>
      </c>
      <c r="O73" s="961"/>
      <c r="P73" s="961"/>
      <c r="Q73" s="961" t="s">
        <v>169</v>
      </c>
      <c r="R73" s="961"/>
      <c r="S73" s="961"/>
      <c r="T73" s="847"/>
      <c r="U73" s="847"/>
      <c r="V73" s="847" t="s">
        <v>2471</v>
      </c>
      <c r="W73" s="847"/>
      <c r="X73" s="847"/>
      <c r="Y73" s="1004"/>
      <c r="Z73" s="850"/>
      <c r="AA73" s="853"/>
      <c r="AB73" s="850"/>
      <c r="AC73" s="850"/>
      <c r="AD73" s="850"/>
    </row>
    <row customHeight="1" ht="18">
      <c r="A74" s="849"/>
      <c r="B74" s="903">
        <v>57</v>
      </c>
      <c r="C74" s="847"/>
      <c r="D74" s="971"/>
      <c r="E74" s="847" t="s">
        <v>2466</v>
      </c>
      <c r="F74" s="847"/>
      <c r="G74" s="847"/>
      <c r="H74" s="895"/>
      <c r="I74" s="1009">
        <f>INDEX(TEMPLATE_NUMBER_POINT_FHD,B74,MATCH(TEMPLATE_SPHERE,TEMPLATE_SPHERE_LIST_FOR_NOTE,0))</f>
        <v>0</v>
      </c>
      <c r="J74" s="1009">
        <f>INDEX(TEMPLATE_DATA_POINT_FHD,B74,MATCH(TEMPLATE_SPHERE,TEMPLATE_SPHERE_LIST_FOR_NOTE,0))</f>
        <v>0</v>
      </c>
      <c r="K74" s="1009">
        <f>INDEX(TEMPLATE_NOTE_POINT_FHD,B74,MATCH(TEMPLATE_SPHERE,TEMPLATE_SPHERE_LIST_FOR_NOTE,0))</f>
        <v>0</v>
      </c>
      <c r="L74" s="848" t="str">
        <f>IF(I74=0,"",I74)</f>
        <v/>
      </c>
      <c r="M74" s="848" t="str">
        <f>IF(J74=0,"",J74)</f>
        <v/>
      </c>
      <c r="N74" s="848" t="str">
        <f>IF(K74=0,"",K74)</f>
        <v/>
      </c>
      <c r="O74" s="961"/>
      <c r="P74" s="961"/>
      <c r="Q74" s="961" t="s">
        <v>170</v>
      </c>
      <c r="R74" s="961"/>
      <c r="S74" s="961"/>
      <c r="T74" s="847"/>
      <c r="U74" s="847"/>
      <c r="V74" s="847" t="s">
        <v>2472</v>
      </c>
      <c r="W74" s="847"/>
      <c r="X74" s="847"/>
      <c r="Y74" s="1004"/>
      <c r="Z74" s="850"/>
      <c r="AA74" s="853"/>
      <c r="AB74" s="850"/>
      <c r="AC74" s="850"/>
      <c r="AD74" s="850"/>
    </row>
    <row customHeight="1" ht="18">
      <c r="A75" s="849"/>
      <c r="B75" s="903">
        <v>58</v>
      </c>
      <c r="C75" s="847"/>
      <c r="D75" s="971"/>
      <c r="E75" s="847"/>
      <c r="F75" s="847" t="s">
        <v>2451</v>
      </c>
      <c r="G75" s="847"/>
      <c r="H75" s="895"/>
      <c r="I75" s="1009">
        <f>INDEX(TEMPLATE_NUMBER_POINT_FHD,B75,MATCH(TEMPLATE_SPHERE,TEMPLATE_SPHERE_LIST_FOR_NOTE,0))</f>
        <v>0</v>
      </c>
      <c r="J75" s="1009">
        <f>INDEX(TEMPLATE_DATA_POINT_FHD,B75,MATCH(TEMPLATE_SPHERE,TEMPLATE_SPHERE_LIST_FOR_NOTE,0))</f>
        <v>0</v>
      </c>
      <c r="K75" s="1009">
        <f>INDEX(TEMPLATE_NOTE_POINT_FHD,B75,MATCH(TEMPLATE_SPHERE,TEMPLATE_SPHERE_LIST_FOR_NOTE,0))</f>
        <v>0</v>
      </c>
      <c r="L75" s="848" t="str">
        <f>IF(I75=0,"",I75)</f>
        <v/>
      </c>
      <c r="M75" s="848" t="str">
        <f>IF(J75=0,"",J75)</f>
        <v/>
      </c>
      <c r="N75" s="848" t="str">
        <f>IF(K75=0,"",K75)</f>
        <v/>
      </c>
      <c r="O75" s="961"/>
      <c r="P75" s="961"/>
      <c r="Q75" s="961"/>
      <c r="R75" s="961" t="s">
        <v>93</v>
      </c>
      <c r="S75" s="961"/>
      <c r="T75" s="847"/>
      <c r="U75" s="847"/>
      <c r="V75" s="847"/>
      <c r="W75" s="847" t="s">
        <v>2473</v>
      </c>
      <c r="X75" s="847"/>
      <c r="Y75" s="1004"/>
      <c r="Z75" s="850"/>
      <c r="AA75" s="853"/>
      <c r="AB75" s="850"/>
      <c r="AC75" s="850"/>
      <c r="AD75" s="850"/>
    </row>
    <row customHeight="1" ht="36">
      <c r="A76" s="849"/>
      <c r="B76" s="903">
        <v>59</v>
      </c>
      <c r="C76" s="847"/>
      <c r="D76" s="971"/>
      <c r="E76" s="847"/>
      <c r="F76" s="847" t="s">
        <v>2453</v>
      </c>
      <c r="G76" s="847"/>
      <c r="H76" s="895"/>
      <c r="I76" s="1009">
        <f>INDEX(TEMPLATE_NUMBER_POINT_FHD,B76,MATCH(TEMPLATE_SPHERE,TEMPLATE_SPHERE_LIST_FOR_NOTE,0))</f>
        <v>0</v>
      </c>
      <c r="J76" s="1009">
        <f>INDEX(TEMPLATE_DATA_POINT_FHD,B76,MATCH(TEMPLATE_SPHERE,TEMPLATE_SPHERE_LIST_FOR_NOTE,0))</f>
        <v>0</v>
      </c>
      <c r="K76" s="1009">
        <f>INDEX(TEMPLATE_NOTE_POINT_FHD,B76,MATCH(TEMPLATE_SPHERE,TEMPLATE_SPHERE_LIST_FOR_NOTE,0))</f>
        <v>0</v>
      </c>
      <c r="L76" s="848" t="str">
        <f>IF(I76=0,"",I76)</f>
        <v/>
      </c>
      <c r="M76" s="848" t="str">
        <f>IF(J76=0,"",J76)</f>
        <v/>
      </c>
      <c r="N76" s="848" t="str">
        <f>IF(K76=0,"",K76)</f>
        <v/>
      </c>
      <c r="O76" s="961"/>
      <c r="P76" s="961"/>
      <c r="Q76" s="961"/>
      <c r="R76" s="961" t="s">
        <v>121</v>
      </c>
      <c r="S76" s="961"/>
      <c r="T76" s="847"/>
      <c r="U76" s="847"/>
      <c r="V76" s="847"/>
      <c r="W76" s="847" t="s">
        <v>2474</v>
      </c>
      <c r="X76" s="847"/>
      <c r="Y76" s="1004"/>
      <c r="Z76" s="850"/>
      <c r="AA76" s="853"/>
      <c r="AB76" s="850"/>
      <c r="AC76" s="850"/>
      <c r="AD76" s="850"/>
    </row>
    <row customHeight="1" ht="18">
      <c r="A77" s="849"/>
      <c r="B77" s="903">
        <v>60</v>
      </c>
      <c r="C77" s="847"/>
      <c r="D77" s="971"/>
      <c r="E77" s="847"/>
      <c r="F77" s="847" t="s">
        <v>2455</v>
      </c>
      <c r="G77" s="847"/>
      <c r="H77" s="895"/>
      <c r="I77" s="1009">
        <f>INDEX(TEMPLATE_NUMBER_POINT_FHD,B77,MATCH(TEMPLATE_SPHERE,TEMPLATE_SPHERE_LIST_FOR_NOTE,0))</f>
        <v>0</v>
      </c>
      <c r="J77" s="1009">
        <f>INDEX(TEMPLATE_DATA_POINT_FHD,B77,MATCH(TEMPLATE_SPHERE,TEMPLATE_SPHERE_LIST_FOR_NOTE,0))</f>
        <v>0</v>
      </c>
      <c r="K77" s="1009">
        <f>INDEX(TEMPLATE_NOTE_POINT_FHD,B77,MATCH(TEMPLATE_SPHERE,TEMPLATE_SPHERE_LIST_FOR_NOTE,0))</f>
        <v>0</v>
      </c>
      <c r="L77" s="848" t="str">
        <f>IF(I77=0,"",I77)</f>
        <v/>
      </c>
      <c r="M77" s="848" t="str">
        <f>IF(J77=0,"",J77)</f>
        <v/>
      </c>
      <c r="N77" s="848" t="str">
        <f>IF(K77=0,"",K77)</f>
        <v/>
      </c>
      <c r="O77" s="961"/>
      <c r="P77" s="961"/>
      <c r="Q77" s="961"/>
      <c r="R77" s="961" t="s">
        <v>168</v>
      </c>
      <c r="S77" s="961"/>
      <c r="T77" s="847"/>
      <c r="U77" s="847"/>
      <c r="V77" s="847"/>
      <c r="W77" s="847" t="s">
        <v>2475</v>
      </c>
      <c r="X77" s="847"/>
      <c r="Y77" s="1004"/>
      <c r="Z77" s="850"/>
      <c r="AA77" s="853"/>
      <c r="AB77" s="850"/>
      <c r="AC77" s="850"/>
      <c r="AD77" s="850"/>
    </row>
    <row customHeight="1" ht="72">
      <c r="A78" s="849"/>
      <c r="B78" s="903">
        <v>61</v>
      </c>
      <c r="C78" s="847" t="s">
        <v>2451</v>
      </c>
      <c r="D78" s="971"/>
      <c r="E78" s="847"/>
      <c r="F78" s="847"/>
      <c r="G78" s="847"/>
      <c r="H78" s="895"/>
      <c r="I78" s="1009" t="str">
        <f>INDEX(TEMPLATE_NUMBER_POINT_FHD,B78,MATCH(TEMPLATE_SPHERE,TEMPLATE_SPHERE_LIST_FOR_NOTE,0))</f>
        <v>7</v>
      </c>
      <c r="J78" s="1009"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09"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8" t="str">
        <f>IF(I78=0,"",I78)</f>
        <v>7</v>
      </c>
      <c r="M78" s="848"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8"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1" t="s">
        <v>93</v>
      </c>
      <c r="P78" s="961"/>
      <c r="Q78" s="961"/>
      <c r="R78" s="961"/>
      <c r="S78" s="961"/>
      <c r="T78" s="847" t="s">
        <v>895</v>
      </c>
      <c r="U78" s="847"/>
      <c r="V78" s="847"/>
      <c r="W78" s="847"/>
      <c r="X78" s="847"/>
      <c r="Y78" s="1004"/>
      <c r="Z78" s="850" t="s">
        <v>2476</v>
      </c>
      <c r="AA78" s="853"/>
      <c r="AB78" s="850"/>
      <c r="AC78" s="850"/>
      <c r="AD78" s="850"/>
    </row>
    <row customHeight="1" ht="36">
      <c r="A79" s="849"/>
      <c r="B79" s="903">
        <v>62</v>
      </c>
      <c r="C79" s="847" t="s">
        <v>2453</v>
      </c>
      <c r="D79" s="971"/>
      <c r="E79" s="847"/>
      <c r="F79" s="847"/>
      <c r="G79" s="847"/>
      <c r="H79" s="895"/>
      <c r="I79" s="1009" t="str">
        <f>INDEX(TEMPLATE_NUMBER_POINT_FHD,B79,MATCH(TEMPLATE_SPHERE,TEMPLATE_SPHERE_LIST_FOR_NOTE,0))</f>
        <v>8</v>
      </c>
      <c r="J79" s="1009"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09"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8" t="str">
        <f>IF(I79=0,"",I79)</f>
        <v>8</v>
      </c>
      <c r="M79" s="848" t="str">
        <f>IF(J79=0,"",J79)</f>
        <v>Тепловая нагрузка по договорам, заключенным в рамках осуществления регулируемых видов деятельности</v>
      </c>
      <c r="N79" s="848"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1" t="s">
        <v>121</v>
      </c>
      <c r="P79" s="961"/>
      <c r="Q79" s="961"/>
      <c r="R79" s="961"/>
      <c r="S79" s="961"/>
      <c r="T79" s="847" t="s">
        <v>2477</v>
      </c>
      <c r="U79" s="847"/>
      <c r="V79" s="847"/>
      <c r="W79" s="847"/>
      <c r="X79" s="847"/>
      <c r="Y79" s="1004"/>
      <c r="Z79" s="850" t="s">
        <v>2478</v>
      </c>
      <c r="AA79" s="853"/>
      <c r="AB79" s="850"/>
      <c r="AC79" s="850"/>
      <c r="AD79" s="850"/>
    </row>
    <row customHeight="1" ht="45">
      <c r="A80" s="849"/>
      <c r="B80" s="903">
        <v>63</v>
      </c>
      <c r="C80" s="847" t="s">
        <v>2455</v>
      </c>
      <c r="D80" s="971"/>
      <c r="E80" s="847"/>
      <c r="F80" s="847"/>
      <c r="G80" s="847"/>
      <c r="H80" s="895"/>
      <c r="I80" s="1009" t="str">
        <f>INDEX(TEMPLATE_NUMBER_POINT_FHD,B80,MATCH(TEMPLATE_SPHERE,TEMPLATE_SPHERE_LIST_FOR_NOTE,0))</f>
        <v>9</v>
      </c>
      <c r="J80" s="1009"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09"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8" t="str">
        <f>IF(I80=0,"",I80)</f>
        <v>9</v>
      </c>
      <c r="M80" s="848" t="str">
        <f>IF(J80=0,"",J80)</f>
        <v>Объем вырабатываемой регулируемой организацией тепловой энергии в рамках осуществления регулируемых видов деятельности</v>
      </c>
      <c r="N80" s="848"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1" t="s">
        <v>168</v>
      </c>
      <c r="P80" s="961"/>
      <c r="Q80" s="961"/>
      <c r="R80" s="961"/>
      <c r="S80" s="961"/>
      <c r="T80" s="847" t="s">
        <v>2479</v>
      </c>
      <c r="U80" s="847"/>
      <c r="V80" s="847"/>
      <c r="W80" s="847"/>
      <c r="X80" s="847"/>
      <c r="Y80" s="1004"/>
      <c r="Z80" s="850" t="s">
        <v>2480</v>
      </c>
      <c r="AA80" s="853"/>
      <c r="AB80" s="850"/>
      <c r="AC80" s="850"/>
      <c r="AD80" s="850"/>
    </row>
    <row customHeight="1" ht="36">
      <c r="A81" s="849"/>
      <c r="B81" s="903">
        <v>64</v>
      </c>
      <c r="C81" s="847" t="s">
        <v>2457</v>
      </c>
      <c r="D81" s="971"/>
      <c r="E81" s="847"/>
      <c r="F81" s="847"/>
      <c r="G81" s="847"/>
      <c r="H81" s="895"/>
      <c r="I81" s="1009" t="str">
        <f>INDEX(TEMPLATE_NUMBER_POINT_FHD,B81,MATCH(TEMPLATE_SPHERE,TEMPLATE_SPHERE_LIST_FOR_NOTE,0))</f>
        <v>9.1</v>
      </c>
      <c r="J81" s="1009"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09" t="str">
        <f>INDEX(TEMPLATE_NOTE_POINT_FHD,B81,MATCH(TEMPLATE_SPHERE,TEMPLATE_SPHERE_LIST_FOR_NOTE,0))</f>
        <v>Информация указывается только едиными теплоснабжающими организациями.</v>
      </c>
      <c r="L81" s="848" t="str">
        <f>IF(I81=0,"",I81)</f>
        <v>9.1</v>
      </c>
      <c r="M81" s="848" t="str">
        <f>IF(J81=0,"",J81)</f>
        <v>Объем приобретаемой регулируемой организацией тепловой энергии в рамках осуществления регулируемых видов деятельности</v>
      </c>
      <c r="N81" s="848" t="str">
        <f>IF(K81=0,"",K81)</f>
        <v>Информация указывается только едиными теплоснабжающими организациями.</v>
      </c>
      <c r="O81" s="961" t="s">
        <v>2363</v>
      </c>
      <c r="P81" s="961"/>
      <c r="Q81" s="961"/>
      <c r="R81" s="961"/>
      <c r="S81" s="961"/>
      <c r="T81" s="847" t="s">
        <v>2481</v>
      </c>
      <c r="U81" s="847"/>
      <c r="V81" s="847"/>
      <c r="W81" s="847"/>
      <c r="X81" s="847"/>
      <c r="Y81" s="1004"/>
      <c r="Z81" s="850" t="s">
        <v>2482</v>
      </c>
      <c r="AA81" s="853"/>
      <c r="AB81" s="850"/>
      <c r="AC81" s="850"/>
      <c r="AD81" s="850"/>
    </row>
    <row customHeight="1" ht="90">
      <c r="A82" s="849"/>
      <c r="B82" s="903">
        <v>65</v>
      </c>
      <c r="C82" s="847" t="s">
        <v>2466</v>
      </c>
      <c r="D82" s="971"/>
      <c r="E82" s="847"/>
      <c r="F82" s="847"/>
      <c r="G82" s="847"/>
      <c r="H82" s="895"/>
      <c r="I82" s="1009" t="str">
        <f>INDEX(TEMPLATE_NUMBER_POINT_FHD,B82,MATCH(TEMPLATE_SPHERE,TEMPLATE_SPHERE_LIST_FOR_NOTE,0))</f>
        <v>10</v>
      </c>
      <c r="J82" s="1009"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09"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8" t="str">
        <f>IF(I82=0,"",I82)</f>
        <v>10</v>
      </c>
      <c r="M82" s="848"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8"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1" t="s">
        <v>169</v>
      </c>
      <c r="P82" s="961"/>
      <c r="Q82" s="961"/>
      <c r="R82" s="961"/>
      <c r="S82" s="961"/>
      <c r="T82" s="847" t="s">
        <v>2483</v>
      </c>
      <c r="U82" s="847"/>
      <c r="V82" s="847"/>
      <c r="W82" s="847"/>
      <c r="X82" s="847"/>
      <c r="Y82" s="1004"/>
      <c r="Z82" s="850" t="s">
        <v>2484</v>
      </c>
      <c r="AA82" s="853"/>
      <c r="AB82" s="850"/>
      <c r="AC82" s="850"/>
      <c r="AD82" s="850"/>
    </row>
    <row customHeight="1" ht="9">
      <c r="A83" s="849"/>
      <c r="B83" s="903">
        <v>66</v>
      </c>
      <c r="C83" s="847"/>
      <c r="D83" s="971"/>
      <c r="E83" s="847"/>
      <c r="F83" s="847"/>
      <c r="G83" s="847"/>
      <c r="H83" s="895"/>
      <c r="I83" s="1009" t="str">
        <f>INDEX(TEMPLATE_NUMBER_POINT_FHD,B83,MATCH(TEMPLATE_SPHERE,TEMPLATE_SPHERE_LIST_FOR_NOTE,0))</f>
        <v>10.1</v>
      </c>
      <c r="J83" s="1009" t="str">
        <f>INDEX(TEMPLATE_DATA_POINT_FHD,B83,MATCH(TEMPLATE_SPHERE,TEMPLATE_SPHERE_LIST_FOR_NOTE,0))</f>
        <v>По приборам учёта </v>
      </c>
      <c r="K83" s="1009">
        <f>INDEX(TEMPLATE_NOTE_POINT_FHD,B83,MATCH(TEMPLATE_SPHERE,TEMPLATE_SPHERE_LIST_FOR_NOTE,0))</f>
        <v>0</v>
      </c>
      <c r="L83" s="848" t="str">
        <f>IF(I83=0,"",I83)</f>
        <v>10.1</v>
      </c>
      <c r="M83" s="848" t="str">
        <f>IF(J83=0,"",J83)</f>
        <v>По приборам учёта </v>
      </c>
      <c r="N83" s="848" t="str">
        <f>IF(K83=0,"",K83)</f>
        <v/>
      </c>
      <c r="O83" s="961" t="s">
        <v>2372</v>
      </c>
      <c r="P83" s="961"/>
      <c r="Q83" s="961"/>
      <c r="R83" s="961"/>
      <c r="S83" s="961"/>
      <c r="T83" s="847" t="s">
        <v>2485</v>
      </c>
      <c r="U83" s="847"/>
      <c r="V83" s="847"/>
      <c r="W83" s="847"/>
      <c r="X83" s="847"/>
      <c r="Y83" s="1004"/>
      <c r="Z83" s="850"/>
      <c r="AA83" s="853"/>
      <c r="AB83" s="850"/>
      <c r="AC83" s="850"/>
      <c r="AD83" s="850"/>
    </row>
    <row customHeight="1" ht="54">
      <c r="A84" s="849"/>
      <c r="B84" s="903">
        <v>67</v>
      </c>
      <c r="C84" s="847"/>
      <c r="D84" s="971"/>
      <c r="E84" s="847"/>
      <c r="F84" s="847"/>
      <c r="G84" s="847"/>
      <c r="H84" s="895"/>
      <c r="I84" s="1009" t="str">
        <f>INDEX(TEMPLATE_NUMBER_POINT_FHD,B84,MATCH(TEMPLATE_SPHERE,TEMPLATE_SPHERE_LIST_FOR_NOTE,0))</f>
        <v>10.1.1</v>
      </c>
      <c r="J84" s="1009"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09">
        <f>INDEX(TEMPLATE_NOTE_POINT_FHD,B84,MATCH(TEMPLATE_SPHERE,TEMPLATE_SPHERE_LIST_FOR_NOTE,0))</f>
        <v>0</v>
      </c>
      <c r="L84" s="848" t="str">
        <f>IF(I84=0,"",I84)</f>
        <v>10.1.1</v>
      </c>
      <c r="M84" s="848"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8" t="str">
        <f>IF(K84=0,"",K84)</f>
        <v/>
      </c>
      <c r="O84" s="961" t="s">
        <v>2486</v>
      </c>
      <c r="P84" s="961"/>
      <c r="Q84" s="961"/>
      <c r="R84" s="961"/>
      <c r="S84" s="961"/>
      <c r="T84" s="847" t="s">
        <v>2487</v>
      </c>
      <c r="U84" s="847"/>
      <c r="V84" s="847"/>
      <c r="W84" s="847"/>
      <c r="X84" s="847"/>
      <c r="Y84" s="1004"/>
      <c r="Z84" s="850"/>
      <c r="AA84" s="853"/>
      <c r="AB84" s="850"/>
      <c r="AC84" s="850"/>
      <c r="AD84" s="850"/>
    </row>
    <row customHeight="1" ht="9">
      <c r="A85" s="849"/>
      <c r="B85" s="903">
        <v>68</v>
      </c>
      <c r="C85" s="847"/>
      <c r="D85" s="971"/>
      <c r="E85" s="847"/>
      <c r="F85" s="847"/>
      <c r="G85" s="847"/>
      <c r="H85" s="895"/>
      <c r="I85" s="1009" t="str">
        <f>INDEX(TEMPLATE_NUMBER_POINT_FHD,B85,MATCH(TEMPLATE_SPHERE,TEMPLATE_SPHERE_LIST_FOR_NOTE,0))</f>
        <v>10.2</v>
      </c>
      <c r="J85" s="1009" t="str">
        <f>INDEX(TEMPLATE_DATA_POINT_FHD,B85,MATCH(TEMPLATE_SPHERE,TEMPLATE_SPHERE_LIST_FOR_NOTE,0))</f>
        <v>Расчётным путём</v>
      </c>
      <c r="K85" s="1009">
        <f>INDEX(TEMPLATE_NOTE_POINT_FHD,B85,MATCH(TEMPLATE_SPHERE,TEMPLATE_SPHERE_LIST_FOR_NOTE,0))</f>
        <v>0</v>
      </c>
      <c r="L85" s="848" t="str">
        <f>IF(I85=0,"",I85)</f>
        <v>10.2</v>
      </c>
      <c r="M85" s="848" t="str">
        <f>IF(J85=0,"",J85)</f>
        <v>Расчётным путём</v>
      </c>
      <c r="N85" s="848" t="str">
        <f>IF(K85=0,"",K85)</f>
        <v/>
      </c>
      <c r="O85" s="961" t="s">
        <v>2376</v>
      </c>
      <c r="P85" s="961"/>
      <c r="Q85" s="961"/>
      <c r="R85" s="961"/>
      <c r="S85" s="961"/>
      <c r="T85" s="847" t="s">
        <v>2488</v>
      </c>
      <c r="U85" s="847"/>
      <c r="V85" s="847"/>
      <c r="W85" s="847"/>
      <c r="X85" s="847"/>
      <c r="Y85" s="1004"/>
      <c r="Z85" s="850"/>
      <c r="AA85" s="853"/>
      <c r="AB85" s="850"/>
      <c r="AC85" s="850"/>
      <c r="AD85" s="850"/>
    </row>
    <row customHeight="1" ht="27">
      <c r="A86" s="849"/>
      <c r="B86" s="903">
        <v>69</v>
      </c>
      <c r="C86" s="847"/>
      <c r="D86" s="971"/>
      <c r="E86" s="847"/>
      <c r="F86" s="847"/>
      <c r="G86" s="847"/>
      <c r="H86" s="895"/>
      <c r="I86" s="1009" t="str">
        <f>INDEX(TEMPLATE_NUMBER_POINT_FHD,B86,MATCH(TEMPLATE_SPHERE,TEMPLATE_SPHERE_LIST_FOR_NOTE,0))</f>
        <v>10.3</v>
      </c>
      <c r="J86" s="1009" t="str">
        <f>INDEX(TEMPLATE_DATA_POINT_FHD,B86,MATCH(TEMPLATE_SPHERE,TEMPLATE_SPHERE_LIST_FOR_NOTE,0))</f>
        <v>По нормативам потребления коммунальных услуг и нормативам потребления коммунальных ресурсов</v>
      </c>
      <c r="K86" s="1009">
        <f>INDEX(TEMPLATE_NOTE_POINT_FHD,B86,MATCH(TEMPLATE_SPHERE,TEMPLATE_SPHERE_LIST_FOR_NOTE,0))</f>
        <v>0</v>
      </c>
      <c r="L86" s="848" t="str">
        <f>IF(I86=0,"",I86)</f>
        <v>10.3</v>
      </c>
      <c r="M86" s="848" t="str">
        <f>IF(J86=0,"",J86)</f>
        <v>По нормативам потребления коммунальных услуг и нормативам потребления коммунальных ресурсов</v>
      </c>
      <c r="N86" s="848" t="str">
        <f>IF(K86=0,"",K86)</f>
        <v/>
      </c>
      <c r="O86" s="961" t="s">
        <v>2489</v>
      </c>
      <c r="P86" s="961"/>
      <c r="Q86" s="961"/>
      <c r="R86" s="961"/>
      <c r="S86" s="961"/>
      <c r="T86" s="847" t="s">
        <v>2490</v>
      </c>
      <c r="U86" s="847"/>
      <c r="V86" s="847"/>
      <c r="W86" s="847"/>
      <c r="X86" s="847"/>
      <c r="Y86" s="1004"/>
      <c r="Z86" s="850"/>
      <c r="AA86" s="853"/>
      <c r="AB86" s="850"/>
      <c r="AC86" s="850"/>
      <c r="AD86" s="850"/>
    </row>
    <row customHeight="1" ht="36">
      <c r="A87" s="849"/>
      <c r="B87" s="903">
        <v>70</v>
      </c>
      <c r="C87" s="847" t="s">
        <v>2491</v>
      </c>
      <c r="D87" s="971"/>
      <c r="E87" s="847"/>
      <c r="F87" s="847"/>
      <c r="G87" s="847"/>
      <c r="H87" s="895"/>
      <c r="I87" s="1009" t="str">
        <f>INDEX(TEMPLATE_NUMBER_POINT_FHD,B87,MATCH(TEMPLATE_SPHERE,TEMPLATE_SPHERE_LIST_FOR_NOTE,0))</f>
        <v>11</v>
      </c>
      <c r="J87" s="1009"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09">
        <f>INDEX(TEMPLATE_NOTE_POINT_FHD,B87,MATCH(TEMPLATE_SPHERE,TEMPLATE_SPHERE_LIST_FOR_NOTE,0))</f>
        <v>0</v>
      </c>
      <c r="L87" s="848" t="str">
        <f>IF(I87=0,"",I87)</f>
        <v>11</v>
      </c>
      <c r="M87" s="848"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8" t="str">
        <f>IF(K87=0,"",K87)</f>
        <v/>
      </c>
      <c r="O87" s="961" t="s">
        <v>170</v>
      </c>
      <c r="P87" s="961"/>
      <c r="Q87" s="961"/>
      <c r="R87" s="961"/>
      <c r="S87" s="961"/>
      <c r="T87" s="847" t="s">
        <v>2492</v>
      </c>
      <c r="U87" s="847"/>
      <c r="V87" s="847"/>
      <c r="W87" s="847"/>
      <c r="X87" s="847"/>
      <c r="Y87" s="1004"/>
      <c r="Z87" s="850"/>
      <c r="AA87" s="853"/>
      <c r="AB87" s="850"/>
      <c r="AC87" s="850"/>
      <c r="AD87" s="850"/>
    </row>
    <row customHeight="1" ht="18">
      <c r="A88" s="849"/>
      <c r="B88" s="903">
        <v>71</v>
      </c>
      <c r="C88" s="847" t="s">
        <v>2493</v>
      </c>
      <c r="D88" s="971"/>
      <c r="E88" s="847"/>
      <c r="F88" s="847"/>
      <c r="G88" s="847"/>
      <c r="H88" s="895"/>
      <c r="I88" s="1009" t="str">
        <f>INDEX(TEMPLATE_NUMBER_POINT_FHD,B88,MATCH(TEMPLATE_SPHERE,TEMPLATE_SPHERE_LIST_FOR_NOTE,0))</f>
        <v>12</v>
      </c>
      <c r="J88" s="1009" t="str">
        <f>INDEX(TEMPLATE_DATA_POINT_FHD,B88,MATCH(TEMPLATE_SPHERE,TEMPLATE_SPHERE_LIST_FOR_NOTE,0))</f>
        <v>Фактический объем потерь при передаче тепловой энергии</v>
      </c>
      <c r="K88" s="1009">
        <f>INDEX(TEMPLATE_NOTE_POINT_FHD,B88,MATCH(TEMPLATE_SPHERE,TEMPLATE_SPHERE_LIST_FOR_NOTE,0))</f>
        <v>0</v>
      </c>
      <c r="L88" s="848" t="str">
        <f>IF(I88=0,"",I88)</f>
        <v>12</v>
      </c>
      <c r="M88" s="848" t="str">
        <f>IF(J88=0,"",J88)</f>
        <v>Фактический объем потерь при передаче тепловой энергии</v>
      </c>
      <c r="N88" s="848" t="str">
        <f>IF(K88=0,"",K88)</f>
        <v/>
      </c>
      <c r="O88" s="961" t="s">
        <v>171</v>
      </c>
      <c r="P88" s="961"/>
      <c r="Q88" s="961"/>
      <c r="R88" s="961"/>
      <c r="S88" s="961"/>
      <c r="T88" s="847" t="s">
        <v>927</v>
      </c>
      <c r="U88" s="847"/>
      <c r="V88" s="847"/>
      <c r="W88" s="847"/>
      <c r="X88" s="847"/>
      <c r="Y88" s="1004"/>
      <c r="Z88" s="850"/>
      <c r="AA88" s="853"/>
      <c r="AB88" s="850"/>
      <c r="AC88" s="850"/>
      <c r="AD88" s="850"/>
    </row>
    <row customHeight="1" ht="18">
      <c r="A89" s="849"/>
      <c r="B89" s="903">
        <v>72</v>
      </c>
      <c r="C89" s="847" t="s">
        <v>2494</v>
      </c>
      <c r="D89" s="971" t="s">
        <v>2491</v>
      </c>
      <c r="E89" s="847" t="s">
        <v>2491</v>
      </c>
      <c r="F89" s="847" t="s">
        <v>2457</v>
      </c>
      <c r="G89" s="847"/>
      <c r="H89" s="895"/>
      <c r="I89" s="1009" t="str">
        <f>INDEX(TEMPLATE_NUMBER_POINT_FHD,B89,MATCH(TEMPLATE_SPHERE,TEMPLATE_SPHERE_LIST_FOR_NOTE,0))</f>
        <v>13</v>
      </c>
      <c r="J89" s="1009" t="str">
        <f>INDEX(TEMPLATE_DATA_POINT_FHD,B89,MATCH(TEMPLATE_SPHERE,TEMPLATE_SPHERE_LIST_FOR_NOTE,0))</f>
        <v>Среднесписочная численность основного производственного персонала</v>
      </c>
      <c r="K89" s="1009">
        <f>INDEX(TEMPLATE_NOTE_POINT_FHD,B89,MATCH(TEMPLATE_SPHERE,TEMPLATE_SPHERE_LIST_FOR_NOTE,0))</f>
        <v>0</v>
      </c>
      <c r="L89" s="848" t="str">
        <f>IF(I89=0,"",I89)</f>
        <v>13</v>
      </c>
      <c r="M89" s="848" t="str">
        <f>IF(J89=0,"",J89)</f>
        <v>Среднесписочная численность основного производственного персонала</v>
      </c>
      <c r="N89" s="848" t="str">
        <f>IF(K89=0,"",K89)</f>
        <v/>
      </c>
      <c r="O89" s="961" t="s">
        <v>172</v>
      </c>
      <c r="P89" s="961" t="s">
        <v>171</v>
      </c>
      <c r="Q89" s="961" t="s">
        <v>171</v>
      </c>
      <c r="R89" s="961" t="s">
        <v>169</v>
      </c>
      <c r="S89" s="961"/>
      <c r="T89" s="847" t="s">
        <v>935</v>
      </c>
      <c r="U89" s="847" t="s">
        <v>935</v>
      </c>
      <c r="V89" s="847" t="s">
        <v>935</v>
      </c>
      <c r="W89" s="847" t="s">
        <v>935</v>
      </c>
      <c r="X89" s="847"/>
      <c r="Y89" s="1004"/>
      <c r="Z89" s="850"/>
      <c r="AA89" s="853"/>
      <c r="AB89" s="850"/>
      <c r="AC89" s="850"/>
      <c r="AD89" s="850"/>
    </row>
    <row customHeight="1" ht="27">
      <c r="A90" s="849"/>
      <c r="B90" s="903">
        <v>73</v>
      </c>
      <c r="C90" s="847" t="s">
        <v>2495</v>
      </c>
      <c r="D90" s="971"/>
      <c r="E90" s="847"/>
      <c r="F90" s="847"/>
      <c r="G90" s="847"/>
      <c r="H90" s="895"/>
      <c r="I90" s="1009" t="str">
        <f>INDEX(TEMPLATE_NUMBER_POINT_FHD,B90,MATCH(TEMPLATE_SPHERE,TEMPLATE_SPHERE_LIST_FOR_NOTE,0))</f>
        <v>14</v>
      </c>
      <c r="J90" s="1009" t="str">
        <f>INDEX(TEMPLATE_DATA_POINT_FHD,B90,MATCH(TEMPLATE_SPHERE,TEMPLATE_SPHERE_LIST_FOR_NOTE,0))</f>
        <v>Среднесписочная численность административно-управленческого персонала</v>
      </c>
      <c r="K90" s="1009">
        <f>INDEX(TEMPLATE_NOTE_POINT_FHD,B90,MATCH(TEMPLATE_SPHERE,TEMPLATE_SPHERE_LIST_FOR_NOTE,0))</f>
        <v>0</v>
      </c>
      <c r="L90" s="848" t="str">
        <f>IF(I90=0,"",I90)</f>
        <v>14</v>
      </c>
      <c r="M90" s="848" t="str">
        <f>IF(J90=0,"",J90)</f>
        <v>Среднесписочная численность административно-управленческого персонала</v>
      </c>
      <c r="N90" s="848" t="str">
        <f>IF(K90=0,"",K90)</f>
        <v/>
      </c>
      <c r="O90" s="961" t="s">
        <v>173</v>
      </c>
      <c r="P90" s="961"/>
      <c r="Q90" s="961"/>
      <c r="R90" s="961"/>
      <c r="S90" s="961"/>
      <c r="T90" s="847" t="s">
        <v>937</v>
      </c>
      <c r="U90" s="847"/>
      <c r="V90" s="847"/>
      <c r="W90" s="847"/>
      <c r="X90" s="847"/>
      <c r="Y90" s="1004"/>
      <c r="Z90" s="850"/>
      <c r="AA90" s="853"/>
      <c r="AB90" s="850"/>
      <c r="AC90" s="850"/>
      <c r="AD90" s="850"/>
    </row>
    <row customHeight="1" ht="18">
      <c r="A91" s="849"/>
      <c r="B91" s="903">
        <v>74</v>
      </c>
      <c r="C91" s="847"/>
      <c r="D91" s="971" t="s">
        <v>2493</v>
      </c>
      <c r="E91" s="847" t="s">
        <v>2493</v>
      </c>
      <c r="F91" s="847"/>
      <c r="G91" s="847"/>
      <c r="H91" s="895"/>
      <c r="I91" s="1009">
        <f>INDEX(TEMPLATE_NUMBER_POINT_FHD,B91,MATCH(TEMPLATE_SPHERE,TEMPLATE_SPHERE_LIST_FOR_NOTE,0))</f>
        <v>0</v>
      </c>
      <c r="J91" s="1009">
        <f>INDEX(TEMPLATE_DATA_POINT_FHD,B91,MATCH(TEMPLATE_SPHERE,TEMPLATE_SPHERE_LIST_FOR_NOTE,0))</f>
        <v>0</v>
      </c>
      <c r="K91" s="1009">
        <f>INDEX(TEMPLATE_NOTE_POINT_FHD,B91,MATCH(TEMPLATE_SPHERE,TEMPLATE_SPHERE_LIST_FOR_NOTE,0))</f>
        <v>0</v>
      </c>
      <c r="L91" s="848" t="str">
        <f>IF(I91=0,"",I91)</f>
        <v/>
      </c>
      <c r="M91" s="848" t="str">
        <f>IF(J91=0,"",J91)</f>
        <v/>
      </c>
      <c r="N91" s="848" t="str">
        <f>IF(K91=0,"",K91)</f>
        <v/>
      </c>
      <c r="O91" s="961"/>
      <c r="P91" s="961" t="s">
        <v>172</v>
      </c>
      <c r="Q91" s="961" t="s">
        <v>172</v>
      </c>
      <c r="R91" s="961"/>
      <c r="S91" s="961"/>
      <c r="T91" s="847"/>
      <c r="U91" s="847" t="s">
        <v>2496</v>
      </c>
      <c r="V91" s="847" t="s">
        <v>2496</v>
      </c>
      <c r="W91" s="847"/>
      <c r="X91" s="847"/>
      <c r="Y91" s="1004"/>
      <c r="Z91" s="850"/>
      <c r="AA91" s="853"/>
      <c r="AB91" s="850"/>
      <c r="AC91" s="850"/>
      <c r="AD91" s="850"/>
    </row>
    <row customHeight="1" ht="27">
      <c r="A92" s="849"/>
      <c r="B92" s="903">
        <v>75</v>
      </c>
      <c r="C92" s="847"/>
      <c r="D92" s="971" t="s">
        <v>2494</v>
      </c>
      <c r="E92" s="847"/>
      <c r="F92" s="847"/>
      <c r="G92" s="847"/>
      <c r="H92" s="895"/>
      <c r="I92" s="1009">
        <f>INDEX(TEMPLATE_NUMBER_POINT_FHD,B92,MATCH(TEMPLATE_SPHERE,TEMPLATE_SPHERE_LIST_FOR_NOTE,0))</f>
        <v>0</v>
      </c>
      <c r="J92" s="1009">
        <f>INDEX(TEMPLATE_DATA_POINT_FHD,B92,MATCH(TEMPLATE_SPHERE,TEMPLATE_SPHERE_LIST_FOR_NOTE,0))</f>
        <v>0</v>
      </c>
      <c r="K92" s="1009">
        <f>INDEX(TEMPLATE_NOTE_POINT_FHD,B92,MATCH(TEMPLATE_SPHERE,TEMPLATE_SPHERE_LIST_FOR_NOTE,0))</f>
        <v>0</v>
      </c>
      <c r="L92" s="848" t="str">
        <f>IF(I92=0,"",I92)</f>
        <v/>
      </c>
      <c r="M92" s="848" t="str">
        <f>IF(J92=0,"",J92)</f>
        <v/>
      </c>
      <c r="N92" s="848" t="str">
        <f>IF(K92=0,"",K92)</f>
        <v/>
      </c>
      <c r="O92" s="961"/>
      <c r="P92" s="961" t="s">
        <v>173</v>
      </c>
      <c r="Q92" s="961"/>
      <c r="R92" s="961"/>
      <c r="S92" s="961"/>
      <c r="T92" s="847"/>
      <c r="U92" s="847" t="s">
        <v>2497</v>
      </c>
      <c r="V92" s="847"/>
      <c r="W92" s="847"/>
      <c r="X92" s="847"/>
      <c r="Y92" s="1004"/>
      <c r="Z92" s="850"/>
      <c r="AA92" s="853" t="s">
        <v>2498</v>
      </c>
      <c r="AB92" s="850"/>
      <c r="AC92" s="850"/>
      <c r="AD92" s="850"/>
    </row>
    <row customHeight="1" ht="27">
      <c r="A93" s="849"/>
      <c r="B93" s="903">
        <v>76</v>
      </c>
      <c r="C93" s="847"/>
      <c r="D93" s="971"/>
      <c r="E93" s="847"/>
      <c r="F93" s="847"/>
      <c r="G93" s="847"/>
      <c r="H93" s="895"/>
      <c r="I93" s="1009">
        <f>INDEX(TEMPLATE_NUMBER_POINT_FHD,B93,MATCH(TEMPLATE_SPHERE,TEMPLATE_SPHERE_LIST_FOR_NOTE,0))</f>
        <v>0</v>
      </c>
      <c r="J93" s="1009">
        <f>INDEX(TEMPLATE_DATA_POINT_FHD,B93,MATCH(TEMPLATE_SPHERE,TEMPLATE_SPHERE_LIST_FOR_NOTE,0))</f>
        <v>0</v>
      </c>
      <c r="K93" s="1009">
        <f>INDEX(TEMPLATE_NOTE_POINT_FHD,B93,MATCH(TEMPLATE_SPHERE,TEMPLATE_SPHERE_LIST_FOR_NOTE,0))</f>
        <v>0</v>
      </c>
      <c r="L93" s="848" t="str">
        <f>IF(I93=0,"",I93)</f>
        <v/>
      </c>
      <c r="M93" s="848" t="str">
        <f>IF(J93=0,"",J93)</f>
        <v/>
      </c>
      <c r="N93" s="848" t="str">
        <f>IF(K93=0,"",K93)</f>
        <v/>
      </c>
      <c r="O93" s="961"/>
      <c r="P93" s="961" t="s">
        <v>2404</v>
      </c>
      <c r="Q93" s="961"/>
      <c r="R93" s="961"/>
      <c r="S93" s="961"/>
      <c r="T93" s="847"/>
      <c r="U93" s="847" t="s">
        <v>2499</v>
      </c>
      <c r="V93" s="847"/>
      <c r="W93" s="847"/>
      <c r="X93" s="847"/>
      <c r="Y93" s="1004"/>
      <c r="Z93" s="850"/>
      <c r="AA93" s="853" t="s">
        <v>2500</v>
      </c>
      <c r="AB93" s="850"/>
      <c r="AC93" s="850"/>
      <c r="AD93" s="850"/>
    </row>
    <row customHeight="1" ht="45">
      <c r="A94" s="849"/>
      <c r="B94" s="903">
        <v>77</v>
      </c>
      <c r="C94" s="847"/>
      <c r="D94" s="971" t="s">
        <v>2495</v>
      </c>
      <c r="E94" s="847"/>
      <c r="F94" s="847"/>
      <c r="G94" s="847"/>
      <c r="H94" s="895"/>
      <c r="I94" s="1009">
        <f>INDEX(TEMPLATE_NUMBER_POINT_FHD,B94,MATCH(TEMPLATE_SPHERE,TEMPLATE_SPHERE_LIST_FOR_NOTE,0))</f>
        <v>0</v>
      </c>
      <c r="J94" s="1009">
        <f>INDEX(TEMPLATE_DATA_POINT_FHD,B94,MATCH(TEMPLATE_SPHERE,TEMPLATE_SPHERE_LIST_FOR_NOTE,0))</f>
        <v>0</v>
      </c>
      <c r="K94" s="1009">
        <f>INDEX(TEMPLATE_NOTE_POINT_FHD,B94,MATCH(TEMPLATE_SPHERE,TEMPLATE_SPHERE_LIST_FOR_NOTE,0))</f>
        <v>0</v>
      </c>
      <c r="L94" s="848" t="str">
        <f>IF(I94=0,"",I94)</f>
        <v/>
      </c>
      <c r="M94" s="848" t="str">
        <f>IF(J94=0,"",J94)</f>
        <v/>
      </c>
      <c r="N94" s="848" t="str">
        <f>IF(K94=0,"",K94)</f>
        <v/>
      </c>
      <c r="O94" s="961"/>
      <c r="P94" s="961" t="s">
        <v>1769</v>
      </c>
      <c r="Q94" s="961"/>
      <c r="R94" s="961"/>
      <c r="S94" s="961"/>
      <c r="T94" s="847"/>
      <c r="U94" s="847" t="s">
        <v>2501</v>
      </c>
      <c r="V94" s="847"/>
      <c r="W94" s="847"/>
      <c r="X94" s="847"/>
      <c r="Y94" s="1004"/>
      <c r="Z94" s="850"/>
      <c r="AA94" s="853" t="s">
        <v>2502</v>
      </c>
      <c r="AB94" s="850"/>
      <c r="AC94" s="850"/>
      <c r="AD94" s="850"/>
    </row>
    <row customHeight="1" ht="99">
      <c r="A95" s="849"/>
      <c r="B95" s="903">
        <v>78</v>
      </c>
      <c r="C95" s="847" t="s">
        <v>2503</v>
      </c>
      <c r="D95" s="971"/>
      <c r="E95" s="847"/>
      <c r="F95" s="847"/>
      <c r="G95" s="847"/>
      <c r="H95" s="895"/>
      <c r="I95" s="1009" t="str">
        <f>INDEX(TEMPLATE_NUMBER_POINT_FHD,B95,MATCH(TEMPLATE_SPHERE,TEMPLATE_SPHERE_LIST_FOR_NOTE,0))</f>
        <v>15</v>
      </c>
      <c r="J95" s="1009"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09">
        <f>INDEX(TEMPLATE_NOTE_POINT_FHD,B95,MATCH(TEMPLATE_SPHERE,TEMPLATE_SPHERE_LIST_FOR_NOTE,0))</f>
        <v>0</v>
      </c>
      <c r="L95" s="848" t="str">
        <f>IF(I95=0,"",I95)</f>
        <v>15</v>
      </c>
      <c r="M95" s="848"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8" t="str">
        <f>IF(K95=0,"",K95)</f>
        <v/>
      </c>
      <c r="O95" s="961" t="s">
        <v>1769</v>
      </c>
      <c r="P95" s="961"/>
      <c r="Q95" s="961"/>
      <c r="R95" s="961"/>
      <c r="S95" s="961"/>
      <c r="T95" s="847" t="s">
        <v>2504</v>
      </c>
      <c r="U95" s="847"/>
      <c r="V95" s="847"/>
      <c r="W95" s="847"/>
      <c r="X95" s="847"/>
      <c r="Y95" s="1004"/>
      <c r="Z95" s="850"/>
      <c r="AA95" s="853"/>
      <c r="AB95" s="850"/>
      <c r="AC95" s="850"/>
      <c r="AD95" s="850"/>
    </row>
    <row customHeight="1" ht="99">
      <c r="A96" s="849"/>
      <c r="B96" s="903">
        <v>79</v>
      </c>
      <c r="C96" s="847" t="s">
        <v>1465</v>
      </c>
      <c r="D96" s="971"/>
      <c r="E96" s="847"/>
      <c r="F96" s="847"/>
      <c r="G96" s="847"/>
      <c r="H96" s="895"/>
      <c r="I96" s="1009" t="str">
        <f>INDEX(TEMPLATE_NUMBER_POINT_FHD,B96,MATCH(TEMPLATE_SPHERE,TEMPLATE_SPHERE_LIST_FOR_NOTE,0))</f>
        <v>16</v>
      </c>
      <c r="J96" s="1009"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09"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8" t="str">
        <f>IF(I96=0,"",I96)</f>
        <v>16</v>
      </c>
      <c r="M96" s="848"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8"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1" t="s">
        <v>1775</v>
      </c>
      <c r="P96" s="961"/>
      <c r="Q96" s="961"/>
      <c r="R96" s="961"/>
      <c r="S96" s="961"/>
      <c r="T96" s="847" t="s">
        <v>2505</v>
      </c>
      <c r="U96" s="847"/>
      <c r="V96" s="847"/>
      <c r="W96" s="847"/>
      <c r="X96" s="847"/>
      <c r="Y96" s="1004"/>
      <c r="Z96" s="850" t="s">
        <v>2506</v>
      </c>
      <c r="AA96" s="853"/>
      <c r="AB96" s="850"/>
      <c r="AC96" s="850"/>
      <c r="AD96" s="850"/>
    </row>
    <row customHeight="1" ht="63">
      <c r="A97" s="849"/>
      <c r="B97" s="903">
        <v>80</v>
      </c>
      <c r="C97" s="847" t="s">
        <v>2507</v>
      </c>
      <c r="D97" s="971"/>
      <c r="E97" s="847"/>
      <c r="F97" s="847"/>
      <c r="G97" s="847"/>
      <c r="H97" s="895"/>
      <c r="I97" s="1009" t="str">
        <f>INDEX(TEMPLATE_NUMBER_POINT_FHD,B97,MATCH(TEMPLATE_SPHERE,TEMPLATE_SPHERE_LIST_FOR_NOTE,0))</f>
        <v>17</v>
      </c>
      <c r="J97" s="1009"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09"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8" t="str">
        <f>IF(I97=0,"",I97)</f>
        <v>17</v>
      </c>
      <c r="M97" s="848"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8" t="str">
        <f>IF(K97=0,"",K97)</f>
        <v>Регулируемыми организациями указывается информация с по договорам, заключенным в рамках осуществления регулируемой деятельности.</v>
      </c>
      <c r="O97" s="961" t="s">
        <v>1787</v>
      </c>
      <c r="P97" s="961"/>
      <c r="Q97" s="961"/>
      <c r="R97" s="961"/>
      <c r="S97" s="961"/>
      <c r="T97" s="847" t="s">
        <v>2508</v>
      </c>
      <c r="U97" s="847"/>
      <c r="V97" s="847"/>
      <c r="W97" s="847"/>
      <c r="X97" s="847"/>
      <c r="Y97" s="1004"/>
      <c r="Z97" s="850" t="s">
        <v>2509</v>
      </c>
      <c r="AA97" s="853"/>
      <c r="AB97" s="850"/>
      <c r="AC97" s="850"/>
      <c r="AD97" s="850"/>
    </row>
    <row customHeight="1" ht="63">
      <c r="A98" s="849"/>
      <c r="B98" s="903">
        <v>81</v>
      </c>
      <c r="C98" s="847" t="s">
        <v>2510</v>
      </c>
      <c r="D98" s="971"/>
      <c r="E98" s="847"/>
      <c r="F98" s="847"/>
      <c r="G98" s="847"/>
      <c r="H98" s="895"/>
      <c r="I98" s="1009" t="str">
        <f>INDEX(TEMPLATE_NUMBER_POINT_FHD,B98,MATCH(TEMPLATE_SPHERE,TEMPLATE_SPHERE_LIST_FOR_NOTE,0))</f>
        <v>18</v>
      </c>
      <c r="J98" s="1009"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09"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8" t="str">
        <f>IF(I98=0,"",I98)</f>
        <v>18</v>
      </c>
      <c r="M98" s="848"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8" t="str">
        <f>IF(K98=0,"",K98)</f>
        <v>Регулируемыми организациями указывается информация с по договорам, заключенным в рамках осуществления регулируемой деятельности.</v>
      </c>
      <c r="O98" s="961" t="s">
        <v>1801</v>
      </c>
      <c r="P98" s="961"/>
      <c r="Q98" s="961"/>
      <c r="R98" s="961"/>
      <c r="S98" s="961"/>
      <c r="T98" s="847" t="s">
        <v>2511</v>
      </c>
      <c r="U98" s="847"/>
      <c r="V98" s="847"/>
      <c r="W98" s="847"/>
      <c r="X98" s="847"/>
      <c r="Y98" s="1004"/>
      <c r="Z98" s="850" t="s">
        <v>2509</v>
      </c>
      <c r="AA98" s="853"/>
      <c r="AB98" s="850"/>
      <c r="AC98" s="850"/>
      <c r="AD98" s="850"/>
    </row>
    <row customHeight="1" ht="90">
      <c r="A99" s="849"/>
      <c r="B99" s="903">
        <v>82</v>
      </c>
      <c r="C99" s="847" t="s">
        <v>2512</v>
      </c>
      <c r="D99" s="971"/>
      <c r="E99" s="847"/>
      <c r="F99" s="847"/>
      <c r="G99" s="847"/>
      <c r="H99" s="895"/>
      <c r="I99" s="1009" t="str">
        <f>INDEX(TEMPLATE_NUMBER_POINT_FHD,B99,MATCH(TEMPLATE_SPHERE,TEMPLATE_SPHERE_LIST_FOR_NOTE,0))</f>
        <v>19</v>
      </c>
      <c r="J99" s="1009"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09" t="str">
        <f>INDEX(TEMPLATE_NOTE_POINT_FHD,B99,MATCH(TEMPLATE_SPHERE,TEMPLATE_SPHERE_LIST_FOR_NOTE,0))</f>
        <v>Указывается ссылка на документ, предварительно загруженный в хранилище файлов ФГИС ЕИАС.</v>
      </c>
      <c r="L99" s="848" t="str">
        <f>IF(I99=0,"",I99)</f>
        <v>19</v>
      </c>
      <c r="M99" s="848"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8" t="str">
        <f>IF(K99=0,"",K99)</f>
        <v>Указывается ссылка на документ, предварительно загруженный в хранилище файлов ФГИС ЕИАС.</v>
      </c>
      <c r="O99" s="961" t="s">
        <v>1813</v>
      </c>
      <c r="P99" s="961"/>
      <c r="Q99" s="961"/>
      <c r="R99" s="961"/>
      <c r="S99" s="961"/>
      <c r="T99" s="847" t="s">
        <v>2513</v>
      </c>
      <c r="U99" s="847"/>
      <c r="V99" s="847"/>
      <c r="W99" s="847"/>
      <c r="X99" s="847"/>
      <c r="Y99" s="1004"/>
      <c r="Z99" s="850" t="s">
        <v>892</v>
      </c>
      <c r="AA99" s="853"/>
      <c r="AB99" s="850"/>
      <c r="AC99" s="850"/>
      <c r="AD99" s="850"/>
    </row>
    <row customHeight="1" ht="27">
      <c r="A100" s="849"/>
      <c r="B100" s="903">
        <v>83</v>
      </c>
      <c r="C100" s="847"/>
      <c r="D100" s="971"/>
      <c r="E100" s="847"/>
      <c r="F100" s="847"/>
      <c r="G100" s="847"/>
      <c r="H100" s="895"/>
      <c r="I100" s="1009" t="str">
        <f>INDEX(TEMPLATE_NUMBER_POINT_FHD,B100,MATCH(TEMPLATE_SPHERE,TEMPLATE_SPHERE_LIST_FOR_NOTE,0))</f>
        <v>19.1</v>
      </c>
      <c r="J100" s="1009" t="str">
        <f>INDEX(TEMPLATE_DATA_POINT_FHD,B100,MATCH(TEMPLATE_SPHERE,TEMPLATE_SPHERE_LIST_FOR_NOTE,0))</f>
        <v>Информация о показателях физического износа объектов теплоснабжения</v>
      </c>
      <c r="K100" s="1009" t="str">
        <f>INDEX(TEMPLATE_NOTE_POINT_FHD,B100,MATCH(TEMPLATE_SPHERE,TEMPLATE_SPHERE_LIST_FOR_NOTE,0))</f>
        <v>Указывается ссылка на документ, предварительно загруженный в хранилище файлов ФГИС ЕИАС.</v>
      </c>
      <c r="L100" s="848" t="str">
        <f>IF(I100=0,"",I100)</f>
        <v>19.1</v>
      </c>
      <c r="M100" s="848" t="str">
        <f>IF(J100=0,"",J100)</f>
        <v>Информация о показателях физического износа объектов теплоснабжения</v>
      </c>
      <c r="N100" s="848" t="str">
        <f>IF(K100=0,"",K100)</f>
        <v>Указывается ссылка на документ, предварительно загруженный в хранилище файлов ФГИС ЕИАС.</v>
      </c>
      <c r="O100" s="961" t="s">
        <v>2514</v>
      </c>
      <c r="P100" s="961"/>
      <c r="Q100" s="961"/>
      <c r="R100" s="961"/>
      <c r="S100" s="961"/>
      <c r="T100" s="847" t="s">
        <v>2515</v>
      </c>
      <c r="U100" s="847"/>
      <c r="V100" s="847"/>
      <c r="W100" s="847"/>
      <c r="X100" s="847"/>
      <c r="Y100" s="1004"/>
      <c r="Z100" s="850" t="s">
        <v>892</v>
      </c>
      <c r="AA100" s="853"/>
      <c r="AB100" s="850"/>
      <c r="AC100" s="850"/>
      <c r="AD100" s="850"/>
    </row>
    <row customHeight="1" ht="27">
      <c r="A101" s="849"/>
      <c r="B101" s="903">
        <v>84</v>
      </c>
      <c r="C101" s="847"/>
      <c r="D101" s="971"/>
      <c r="E101" s="847"/>
      <c r="F101" s="847"/>
      <c r="G101" s="847"/>
      <c r="H101" s="895"/>
      <c r="I101" s="1009" t="str">
        <f>INDEX(TEMPLATE_NUMBER_POINT_FHD,B101,MATCH(TEMPLATE_SPHERE,TEMPLATE_SPHERE_LIST_FOR_NOTE,0))</f>
        <v>19.2</v>
      </c>
      <c r="J101" s="1009" t="str">
        <f>INDEX(TEMPLATE_DATA_POINT_FHD,B101,MATCH(TEMPLATE_SPHERE,TEMPLATE_SPHERE_LIST_FOR_NOTE,0))</f>
        <v>Информация о показателях энергетической эффективности объектов теплоснабжения</v>
      </c>
      <c r="K101" s="1009" t="str">
        <f>INDEX(TEMPLATE_NOTE_POINT_FHD,B101,MATCH(TEMPLATE_SPHERE,TEMPLATE_SPHERE_LIST_FOR_NOTE,0))</f>
        <v>Указывается ссылка на документ, предварительно загруженный в хранилище файлов ФГИС ЕИАС.</v>
      </c>
      <c r="L101" s="848" t="str">
        <f>IF(I101=0,"",I101)</f>
        <v>19.2</v>
      </c>
      <c r="M101" s="848" t="str">
        <f>IF(J101=0,"",J101)</f>
        <v>Информация о показателях энергетической эффективности объектов теплоснабжения</v>
      </c>
      <c r="N101" s="848" t="str">
        <f>IF(K101=0,"",K101)</f>
        <v>Указывается ссылка на документ, предварительно загруженный в хранилище файлов ФГИС ЕИАС.</v>
      </c>
      <c r="O101" s="961" t="s">
        <v>2516</v>
      </c>
      <c r="P101" s="961"/>
      <c r="Q101" s="961"/>
      <c r="R101" s="961"/>
      <c r="S101" s="961"/>
      <c r="T101" s="847" t="s">
        <v>2517</v>
      </c>
      <c r="U101" s="847"/>
      <c r="V101" s="847"/>
      <c r="W101" s="847"/>
      <c r="X101" s="847"/>
      <c r="Y101" s="1004"/>
      <c r="Z101" s="850" t="s">
        <v>892</v>
      </c>
      <c r="AA101" s="853"/>
      <c r="AB101" s="850"/>
      <c r="AC101" s="850"/>
      <c r="AD101" s="850"/>
    </row>
    <row customHeight="1" ht="9">
      <c r="A102" s="849"/>
      <c r="B102" s="849"/>
      <c r="C102" s="847"/>
      <c r="D102" s="847"/>
      <c r="E102" s="847"/>
      <c r="F102" s="847"/>
      <c r="G102" s="847"/>
      <c r="H102" s="895"/>
      <c r="I102" s="895"/>
      <c r="J102" s="895"/>
      <c r="K102" s="895"/>
      <c r="L102" s="895"/>
      <c r="M102" s="847"/>
      <c r="N102" s="894"/>
      <c r="O102" s="961"/>
      <c r="P102" s="961"/>
      <c r="Q102" s="961"/>
      <c r="R102" s="961"/>
      <c r="S102" s="847"/>
      <c r="T102" s="847"/>
      <c r="U102" s="847"/>
      <c r="V102" s="847"/>
      <c r="W102" s="847"/>
      <c r="X102" s="847"/>
      <c r="Y102" s="1004"/>
      <c r="Z102" s="850"/>
      <c r="AA102" s="853"/>
      <c r="AB102" s="850"/>
      <c r="AC102" s="850"/>
      <c r="AD102" s="850"/>
    </row>
    <row customHeight="1" ht="9">
      <c r="A103" s="849"/>
      <c r="B103" s="849"/>
      <c r="C103" s="847"/>
      <c r="D103" s="847"/>
      <c r="E103" s="847"/>
      <c r="F103" s="847"/>
      <c r="G103" s="847"/>
      <c r="H103" s="895"/>
      <c r="I103" s="895"/>
      <c r="J103" s="895"/>
      <c r="K103" s="895"/>
      <c r="L103" s="895"/>
      <c r="M103" s="847"/>
      <c r="N103" s="894"/>
      <c r="O103" s="961"/>
      <c r="P103" s="961"/>
      <c r="Q103" s="961"/>
      <c r="R103" s="961"/>
      <c r="S103" s="847"/>
      <c r="T103" s="847"/>
      <c r="U103" s="847"/>
      <c r="V103" s="847"/>
      <c r="W103" s="847"/>
      <c r="X103" s="847"/>
      <c r="Y103" s="1004"/>
      <c r="Z103" s="850"/>
      <c r="AA103" s="853"/>
      <c r="AB103" s="850"/>
      <c r="AC103" s="850"/>
      <c r="AD103" s="850"/>
    </row>
    <row customHeight="1" ht="9">
      <c r="A104" s="849"/>
      <c r="B104" s="849"/>
      <c r="C104" s="847"/>
      <c r="D104" s="847"/>
      <c r="E104" s="847"/>
      <c r="F104" s="847"/>
      <c r="G104" s="847"/>
      <c r="H104" s="895"/>
      <c r="I104" s="895"/>
      <c r="J104" s="895"/>
      <c r="K104" s="895"/>
      <c r="L104" s="895"/>
      <c r="M104" s="847"/>
      <c r="N104" s="894"/>
      <c r="O104" s="961"/>
      <c r="P104" s="961"/>
      <c r="Q104" s="961"/>
      <c r="R104" s="961"/>
      <c r="S104" s="847"/>
      <c r="T104" s="847"/>
      <c r="U104" s="847"/>
      <c r="V104" s="847"/>
      <c r="W104" s="847"/>
      <c r="X104" s="847"/>
      <c r="Y104" s="1004"/>
      <c r="Z104" s="850"/>
      <c r="AA104" s="853"/>
      <c r="AB104" s="850"/>
      <c r="AC104" s="850"/>
      <c r="AD104" s="850"/>
    </row>
    <row customHeight="1" ht="9">
      <c r="A105" s="849"/>
      <c r="B105" s="849"/>
      <c r="C105" s="847"/>
      <c r="D105" s="847"/>
      <c r="E105" s="847"/>
      <c r="F105" s="847"/>
      <c r="G105" s="847"/>
      <c r="H105" s="895"/>
      <c r="I105" s="895"/>
      <c r="J105" s="895"/>
      <c r="K105" s="895"/>
      <c r="L105" s="895"/>
      <c r="M105" s="847"/>
      <c r="N105" s="894"/>
      <c r="O105" s="961"/>
      <c r="P105" s="961"/>
      <c r="Q105" s="961"/>
      <c r="R105" s="961"/>
      <c r="S105" s="847"/>
      <c r="T105" s="847"/>
      <c r="U105" s="847"/>
      <c r="V105" s="847"/>
      <c r="W105" s="847"/>
      <c r="X105" s="847"/>
      <c r="Y105" s="1004"/>
      <c r="Z105" s="850"/>
      <c r="AA105" s="853"/>
      <c r="AB105" s="850"/>
      <c r="AC105" s="850"/>
      <c r="AD105" s="850"/>
    </row>
    <row customHeight="1" ht="9">
      <c r="A106" s="849"/>
      <c r="B106" s="849"/>
      <c r="C106" s="847"/>
      <c r="D106" s="847"/>
      <c r="E106" s="847"/>
      <c r="F106" s="847"/>
      <c r="G106" s="847"/>
      <c r="H106" s="895"/>
      <c r="I106" s="895"/>
      <c r="J106" s="895"/>
      <c r="K106" s="895"/>
      <c r="L106" s="895"/>
      <c r="M106" s="847"/>
      <c r="N106" s="894"/>
      <c r="O106" s="961"/>
      <c r="P106" s="961"/>
      <c r="Q106" s="961"/>
      <c r="R106" s="961"/>
      <c r="S106" s="847"/>
      <c r="T106" s="847"/>
      <c r="U106" s="847"/>
      <c r="V106" s="847"/>
      <c r="W106" s="847"/>
      <c r="X106" s="847"/>
      <c r="Y106" s="1004"/>
      <c r="Z106" s="850"/>
      <c r="AA106" s="853"/>
      <c r="AB106" s="850"/>
      <c r="AC106" s="850"/>
      <c r="AD106" s="850"/>
    </row>
    <row customHeight="1" ht="9">
      <c r="A107" s="849"/>
      <c r="B107" s="849"/>
      <c r="C107" s="847"/>
      <c r="D107" s="847"/>
      <c r="E107" s="847"/>
      <c r="F107" s="847"/>
      <c r="G107" s="847"/>
      <c r="H107" s="895"/>
      <c r="I107" s="895"/>
      <c r="J107" s="895"/>
      <c r="K107" s="895"/>
      <c r="L107" s="895"/>
      <c r="M107" s="847"/>
      <c r="N107" s="894"/>
      <c r="O107" s="961"/>
      <c r="P107" s="961"/>
      <c r="Q107" s="961"/>
      <c r="R107" s="961"/>
      <c r="S107" s="847"/>
      <c r="T107" s="847"/>
      <c r="U107" s="847"/>
      <c r="V107" s="847"/>
      <c r="W107" s="847"/>
      <c r="X107" s="847"/>
      <c r="Y107" s="1004"/>
      <c r="Z107" s="850"/>
      <c r="AA107" s="853"/>
      <c r="AB107" s="850"/>
      <c r="AC107" s="850"/>
      <c r="AD107" s="850"/>
    </row>
    <row customHeight="1" ht="9">
      <c r="A108" s="849"/>
      <c r="B108" s="849"/>
      <c r="C108" s="847"/>
      <c r="D108" s="847"/>
      <c r="E108" s="847"/>
      <c r="F108" s="847"/>
      <c r="G108" s="847"/>
      <c r="H108" s="895"/>
      <c r="I108" s="895"/>
      <c r="J108" s="895"/>
      <c r="K108" s="895"/>
      <c r="L108" s="895"/>
      <c r="M108" s="847"/>
      <c r="N108" s="894"/>
      <c r="O108" s="961"/>
      <c r="P108" s="961"/>
      <c r="Q108" s="961"/>
      <c r="R108" s="961"/>
      <c r="S108" s="847"/>
      <c r="T108" s="847"/>
      <c r="U108" s="847"/>
      <c r="V108" s="847"/>
      <c r="W108" s="847"/>
      <c r="X108" s="847"/>
      <c r="Y108" s="1004"/>
      <c r="Z108" s="850"/>
      <c r="AA108" s="853"/>
      <c r="AB108" s="850"/>
      <c r="AC108" s="850"/>
      <c r="AD108" s="850"/>
    </row>
    <row customHeight="1" ht="9">
      <c r="A109" s="849"/>
      <c r="B109" s="849"/>
      <c r="C109" s="847"/>
      <c r="D109" s="847"/>
      <c r="E109" s="847"/>
      <c r="F109" s="847"/>
      <c r="G109" s="847"/>
      <c r="H109" s="895"/>
      <c r="I109" s="895"/>
      <c r="J109" s="895"/>
      <c r="K109" s="895"/>
      <c r="L109" s="895"/>
      <c r="M109" s="847"/>
      <c r="N109" s="894"/>
      <c r="O109" s="961"/>
      <c r="P109" s="961"/>
      <c r="Q109" s="961"/>
      <c r="R109" s="961"/>
      <c r="S109" s="847"/>
      <c r="T109" s="847"/>
      <c r="U109" s="847"/>
      <c r="V109" s="847"/>
      <c r="W109" s="847"/>
      <c r="X109" s="847"/>
      <c r="Y109" s="1004"/>
      <c r="Z109" s="850"/>
      <c r="AA109" s="853"/>
      <c r="AB109" s="850"/>
      <c r="AC109" s="850"/>
      <c r="AD109" s="850"/>
    </row>
    <row customHeight="1" ht="9">
      <c r="A110" s="849"/>
      <c r="B110" s="849"/>
      <c r="C110" s="847"/>
      <c r="D110" s="847"/>
      <c r="E110" s="847"/>
      <c r="F110" s="847"/>
      <c r="G110" s="847"/>
      <c r="H110" s="895"/>
      <c r="I110" s="895"/>
      <c r="J110" s="895"/>
      <c r="K110" s="895"/>
      <c r="L110" s="895"/>
      <c r="M110" s="847"/>
      <c r="N110" s="894"/>
      <c r="O110" s="961"/>
      <c r="P110" s="961"/>
      <c r="Q110" s="961"/>
      <c r="R110" s="961"/>
      <c r="S110" s="847"/>
      <c r="T110" s="847"/>
      <c r="U110" s="847"/>
      <c r="V110" s="847"/>
      <c r="W110" s="847"/>
      <c r="X110" s="847"/>
      <c r="Y110" s="1004"/>
      <c r="Z110" s="850"/>
      <c r="AA110" s="853"/>
      <c r="AB110" s="850"/>
      <c r="AC110" s="850"/>
      <c r="AD110" s="850"/>
    </row>
    <row customHeight="1" ht="9">
      <c r="A111" s="849"/>
      <c r="B111" s="849"/>
      <c r="C111" s="847"/>
      <c r="D111" s="847"/>
      <c r="E111" s="847"/>
      <c r="F111" s="847"/>
      <c r="G111" s="847"/>
      <c r="H111" s="895"/>
      <c r="I111" s="895"/>
      <c r="J111" s="895"/>
      <c r="K111" s="895"/>
      <c r="L111" s="895"/>
      <c r="M111" s="847"/>
      <c r="N111" s="894"/>
      <c r="O111" s="961"/>
      <c r="P111" s="961"/>
      <c r="Q111" s="961"/>
      <c r="R111" s="961"/>
      <c r="S111" s="847"/>
      <c r="T111" s="847"/>
      <c r="U111" s="847"/>
      <c r="V111" s="847"/>
      <c r="W111" s="847"/>
      <c r="X111" s="847"/>
      <c r="Y111" s="1004"/>
      <c r="Z111" s="850"/>
      <c r="AA111" s="853"/>
      <c r="AB111" s="850"/>
      <c r="AC111" s="850"/>
      <c r="AD111" s="850"/>
    </row>
    <row customHeight="1" ht="9">
      <c r="A112" s="849"/>
      <c r="B112" s="849"/>
      <c r="C112" s="847"/>
      <c r="D112" s="847"/>
      <c r="E112" s="847"/>
      <c r="F112" s="847"/>
      <c r="G112" s="847"/>
      <c r="H112" s="895"/>
      <c r="I112" s="895"/>
      <c r="J112" s="895"/>
      <c r="K112" s="895"/>
      <c r="L112" s="895"/>
      <c r="M112" s="847"/>
      <c r="N112" s="894"/>
      <c r="O112" s="961"/>
      <c r="P112" s="961"/>
      <c r="Q112" s="961"/>
      <c r="R112" s="961"/>
      <c r="S112" s="847"/>
      <c r="T112" s="847"/>
      <c r="U112" s="847"/>
      <c r="V112" s="847"/>
      <c r="W112" s="847"/>
      <c r="X112" s="847"/>
      <c r="Y112" s="1004"/>
      <c r="Z112" s="850"/>
      <c r="AA112" s="853"/>
      <c r="AB112" s="850"/>
      <c r="AC112" s="850"/>
      <c r="AD112" s="850"/>
    </row>
    <row customHeight="1" ht="9">
      <c r="A113" s="849"/>
      <c r="B113" s="849"/>
      <c r="C113" s="847"/>
      <c r="D113" s="847"/>
      <c r="E113" s="847"/>
      <c r="F113" s="847"/>
      <c r="G113" s="847"/>
      <c r="H113" s="895"/>
      <c r="I113" s="895"/>
      <c r="J113" s="895"/>
      <c r="K113" s="895"/>
      <c r="L113" s="895"/>
      <c r="M113" s="847"/>
      <c r="N113" s="894"/>
      <c r="O113" s="961"/>
      <c r="P113" s="961"/>
      <c r="Q113" s="961"/>
      <c r="R113" s="961"/>
      <c r="S113" s="847"/>
      <c r="T113" s="847"/>
      <c r="U113" s="847"/>
      <c r="V113" s="847"/>
      <c r="W113" s="847"/>
      <c r="X113" s="847"/>
      <c r="Y113" s="1004"/>
      <c r="Z113" s="850"/>
      <c r="AA113" s="853"/>
      <c r="AB113" s="850"/>
      <c r="AC113" s="850"/>
      <c r="AD113" s="850"/>
    </row>
    <row customHeight="1" ht="9">
      <c r="A114" s="849"/>
      <c r="B114" s="849"/>
      <c r="C114" s="847"/>
      <c r="D114" s="847"/>
      <c r="E114" s="847"/>
      <c r="F114" s="847"/>
      <c r="G114" s="847"/>
      <c r="H114" s="895"/>
      <c r="I114" s="895"/>
      <c r="J114" s="895"/>
      <c r="K114" s="895"/>
      <c r="L114" s="895"/>
      <c r="M114" s="847"/>
      <c r="N114" s="894"/>
      <c r="O114" s="961"/>
      <c r="P114" s="961"/>
      <c r="Q114" s="961"/>
      <c r="R114" s="961"/>
      <c r="S114" s="847"/>
      <c r="T114" s="847"/>
      <c r="U114" s="847"/>
      <c r="V114" s="847"/>
      <c r="W114" s="847"/>
      <c r="X114" s="847"/>
      <c r="Y114" s="1004"/>
      <c r="Z114" s="850"/>
      <c r="AA114" s="853"/>
      <c r="AB114" s="850"/>
      <c r="AC114" s="850"/>
      <c r="AD114" s="850"/>
    </row>
    <row customHeight="1" ht="9">
      <c r="A115" s="849"/>
      <c r="B115" s="849"/>
      <c r="C115" s="847"/>
      <c r="D115" s="847"/>
      <c r="E115" s="847"/>
      <c r="F115" s="847"/>
      <c r="G115" s="847"/>
      <c r="H115" s="895"/>
      <c r="I115" s="895"/>
      <c r="J115" s="895"/>
      <c r="K115" s="895"/>
      <c r="L115" s="895"/>
      <c r="M115" s="847"/>
      <c r="N115" s="894"/>
      <c r="O115" s="961"/>
      <c r="P115" s="961"/>
      <c r="Q115" s="961"/>
      <c r="R115" s="961"/>
      <c r="S115" s="847"/>
      <c r="T115" s="847"/>
      <c r="U115" s="847"/>
      <c r="V115" s="847"/>
      <c r="W115" s="847"/>
      <c r="X115" s="847"/>
      <c r="Y115" s="1004"/>
      <c r="Z115" s="850"/>
      <c r="AA115" s="853"/>
      <c r="AB115" s="850"/>
      <c r="AC115" s="850"/>
      <c r="AD115" s="850"/>
    </row>
    <row customHeight="1" ht="9">
      <c r="A116" s="849"/>
      <c r="B116" s="849"/>
      <c r="C116" s="847"/>
      <c r="D116" s="847"/>
      <c r="E116" s="847"/>
      <c r="F116" s="847"/>
      <c r="G116" s="847"/>
      <c r="H116" s="895"/>
      <c r="I116" s="895"/>
      <c r="J116" s="895"/>
      <c r="K116" s="895"/>
      <c r="L116" s="895"/>
      <c r="M116" s="847"/>
      <c r="N116" s="894"/>
      <c r="O116" s="961"/>
      <c r="P116" s="961"/>
      <c r="Q116" s="961"/>
      <c r="R116" s="961"/>
      <c r="S116" s="847"/>
      <c r="T116" s="847"/>
      <c r="U116" s="847"/>
      <c r="V116" s="847"/>
      <c r="W116" s="847"/>
      <c r="X116" s="847"/>
      <c r="Y116" s="1004"/>
      <c r="Z116" s="850"/>
      <c r="AA116" s="853"/>
      <c r="AB116" s="850"/>
      <c r="AC116" s="850"/>
      <c r="AD116" s="850"/>
    </row>
    <row customHeight="1" ht="9">
      <c r="A117" s="849"/>
      <c r="B117" s="849"/>
      <c r="C117" s="847"/>
      <c r="D117" s="847"/>
      <c r="E117" s="847"/>
      <c r="F117" s="847"/>
      <c r="G117" s="847"/>
      <c r="H117" s="895"/>
      <c r="I117" s="895"/>
      <c r="J117" s="895"/>
      <c r="K117" s="895"/>
      <c r="L117" s="895"/>
      <c r="M117" s="847"/>
      <c r="N117" s="894"/>
      <c r="O117" s="961"/>
      <c r="P117" s="961"/>
      <c r="Q117" s="961"/>
      <c r="R117" s="961"/>
      <c r="S117" s="847"/>
      <c r="T117" s="847"/>
      <c r="U117" s="847"/>
      <c r="V117" s="847"/>
      <c r="W117" s="847"/>
      <c r="X117" s="847"/>
      <c r="Y117" s="1004"/>
      <c r="Z117" s="850"/>
      <c r="AA117" s="853"/>
      <c r="AB117" s="850"/>
      <c r="AC117" s="850"/>
      <c r="AD117" s="850"/>
    </row>
    <row customHeight="1" ht="9">
      <c r="A118" s="849"/>
      <c r="B118" s="849"/>
      <c r="C118" s="847"/>
      <c r="D118" s="847"/>
      <c r="E118" s="847"/>
      <c r="F118" s="847"/>
      <c r="G118" s="847"/>
      <c r="H118" s="895"/>
      <c r="I118" s="895"/>
      <c r="J118" s="895"/>
      <c r="K118" s="895"/>
      <c r="L118" s="895"/>
      <c r="M118" s="847"/>
      <c r="N118" s="894"/>
      <c r="O118" s="961"/>
      <c r="P118" s="961"/>
      <c r="Q118" s="961"/>
      <c r="R118" s="961"/>
      <c r="S118" s="847"/>
      <c r="T118" s="847"/>
      <c r="U118" s="847"/>
      <c r="V118" s="847"/>
      <c r="W118" s="847"/>
      <c r="X118" s="847"/>
      <c r="Y118" s="1004"/>
      <c r="Z118" s="850"/>
      <c r="AA118" s="853"/>
      <c r="AB118" s="850"/>
      <c r="AC118" s="850"/>
      <c r="AD118" s="850"/>
    </row>
    <row customHeight="1" ht="9">
      <c r="A119" s="849"/>
      <c r="B119" s="849"/>
      <c r="C119" s="847"/>
      <c r="D119" s="847"/>
      <c r="E119" s="847"/>
      <c r="F119" s="847"/>
      <c r="G119" s="847"/>
      <c r="H119" s="895"/>
      <c r="I119" s="895"/>
      <c r="J119" s="895"/>
      <c r="K119" s="895"/>
      <c r="L119" s="895"/>
      <c r="M119" s="847"/>
      <c r="N119" s="894"/>
      <c r="O119" s="961"/>
      <c r="P119" s="961"/>
      <c r="Q119" s="961"/>
      <c r="R119" s="961"/>
      <c r="S119" s="847"/>
      <c r="T119" s="847"/>
      <c r="U119" s="847"/>
      <c r="V119" s="847"/>
      <c r="W119" s="847"/>
      <c r="X119" s="847"/>
      <c r="Y119" s="1004"/>
      <c r="Z119" s="850"/>
      <c r="AA119" s="853"/>
      <c r="AB119" s="850"/>
      <c r="AC119" s="850"/>
      <c r="AD119" s="850"/>
    </row>
    <row customHeight="1" ht="9">
      <c r="A120" s="849"/>
      <c r="B120" s="849"/>
      <c r="C120" s="847"/>
      <c r="D120" s="847"/>
      <c r="E120" s="847"/>
      <c r="F120" s="847"/>
      <c r="G120" s="847"/>
      <c r="H120" s="895"/>
      <c r="I120" s="895"/>
      <c r="J120" s="895"/>
      <c r="K120" s="895"/>
      <c r="L120" s="895"/>
      <c r="M120" s="847"/>
      <c r="N120" s="894"/>
      <c r="O120" s="961"/>
      <c r="P120" s="961"/>
      <c r="Q120" s="961"/>
      <c r="R120" s="961"/>
      <c r="S120" s="847"/>
      <c r="T120" s="847"/>
      <c r="U120" s="847"/>
      <c r="V120" s="847"/>
      <c r="W120" s="847"/>
      <c r="X120" s="847"/>
      <c r="Y120" s="1004"/>
      <c r="Z120" s="850"/>
      <c r="AA120" s="853"/>
      <c r="AB120" s="850"/>
      <c r="AC120" s="850"/>
      <c r="AD120" s="850"/>
    </row>
    <row customHeight="1" ht="9">
      <c r="A121" s="849"/>
      <c r="B121" s="849"/>
      <c r="C121" s="847"/>
      <c r="D121" s="847"/>
      <c r="E121" s="847"/>
      <c r="F121" s="847"/>
      <c r="G121" s="847"/>
      <c r="H121" s="895"/>
      <c r="I121" s="895"/>
      <c r="J121" s="895"/>
      <c r="K121" s="895"/>
      <c r="L121" s="895"/>
      <c r="M121" s="847"/>
      <c r="N121" s="894"/>
      <c r="O121" s="961"/>
      <c r="P121" s="961"/>
      <c r="Q121" s="961"/>
      <c r="R121" s="961"/>
      <c r="S121" s="847"/>
      <c r="T121" s="847"/>
      <c r="U121" s="847"/>
      <c r="V121" s="847"/>
      <c r="W121" s="847"/>
      <c r="X121" s="847"/>
      <c r="Y121" s="1004"/>
      <c r="Z121" s="850"/>
      <c r="AA121" s="853"/>
      <c r="AB121" s="850"/>
      <c r="AC121" s="850"/>
      <c r="AD121" s="850"/>
    </row>
    <row customHeight="1" ht="9">
      <c r="A122" s="849"/>
      <c r="B122" s="849"/>
      <c r="C122" s="847"/>
      <c r="D122" s="847"/>
      <c r="E122" s="847"/>
      <c r="F122" s="847"/>
      <c r="G122" s="847"/>
      <c r="H122" s="895"/>
      <c r="I122" s="895"/>
      <c r="J122" s="895"/>
      <c r="K122" s="895"/>
      <c r="L122" s="895"/>
      <c r="M122" s="847"/>
      <c r="N122" s="894"/>
      <c r="O122" s="961"/>
      <c r="P122" s="961"/>
      <c r="Q122" s="961"/>
      <c r="R122" s="961"/>
      <c r="S122" s="847"/>
      <c r="T122" s="847"/>
      <c r="U122" s="847"/>
      <c r="V122" s="847"/>
      <c r="W122" s="847"/>
      <c r="X122" s="847"/>
      <c r="Y122" s="1004"/>
      <c r="Z122" s="850"/>
      <c r="AA122" s="853"/>
      <c r="AB122" s="850"/>
      <c r="AC122" s="850"/>
      <c r="AD122" s="850"/>
    </row>
    <row customHeight="1" ht="9">
      <c r="A123" s="849"/>
      <c r="B123" s="849"/>
      <c r="C123" s="847"/>
      <c r="D123" s="847"/>
      <c r="E123" s="847"/>
      <c r="F123" s="847"/>
      <c r="G123" s="847"/>
      <c r="H123" s="895"/>
      <c r="I123" s="895"/>
      <c r="J123" s="895"/>
      <c r="K123" s="895"/>
      <c r="L123" s="895"/>
      <c r="M123" s="847"/>
      <c r="N123" s="894"/>
      <c r="O123" s="961"/>
      <c r="P123" s="961"/>
      <c r="Q123" s="961"/>
      <c r="R123" s="961"/>
      <c r="S123" s="847"/>
      <c r="T123" s="847"/>
      <c r="U123" s="847"/>
      <c r="V123" s="847"/>
      <c r="W123" s="847"/>
      <c r="X123" s="847"/>
      <c r="Y123" s="1004"/>
      <c r="Z123" s="850"/>
      <c r="AA123" s="853"/>
      <c r="AB123" s="850"/>
      <c r="AC123" s="850"/>
      <c r="AD123" s="850"/>
    </row>
    <row customHeight="1" ht="9">
      <c r="A124" s="849"/>
      <c r="B124" s="849"/>
      <c r="C124" s="847"/>
      <c r="D124" s="847"/>
      <c r="E124" s="847"/>
      <c r="F124" s="847"/>
      <c r="G124" s="847"/>
      <c r="H124" s="895"/>
      <c r="I124" s="895"/>
      <c r="J124" s="895"/>
      <c r="K124" s="895"/>
      <c r="L124" s="895"/>
      <c r="M124" s="847"/>
      <c r="N124" s="894"/>
      <c r="O124" s="961"/>
      <c r="P124" s="961"/>
      <c r="Q124" s="961"/>
      <c r="R124" s="961"/>
      <c r="S124" s="847"/>
      <c r="T124" s="847"/>
      <c r="U124" s="847"/>
      <c r="V124" s="847"/>
      <c r="W124" s="847"/>
      <c r="X124" s="847"/>
      <c r="Y124" s="1004"/>
      <c r="Z124" s="850"/>
      <c r="AA124" s="853"/>
      <c r="AB124" s="850"/>
      <c r="AC124" s="850"/>
      <c r="AD124" s="850"/>
    </row>
    <row customHeight="1" ht="9">
      <c r="A125" s="849"/>
      <c r="B125" s="849"/>
      <c r="C125" s="847"/>
      <c r="D125" s="847"/>
      <c r="E125" s="847"/>
      <c r="F125" s="847"/>
      <c r="G125" s="847"/>
      <c r="H125" s="895"/>
      <c r="I125" s="895"/>
      <c r="J125" s="895"/>
      <c r="K125" s="895"/>
      <c r="L125" s="895"/>
      <c r="M125" s="847"/>
      <c r="N125" s="894"/>
      <c r="O125" s="961"/>
      <c r="P125" s="961"/>
      <c r="Q125" s="961"/>
      <c r="R125" s="961"/>
      <c r="S125" s="847"/>
      <c r="T125" s="847"/>
      <c r="U125" s="847"/>
      <c r="V125" s="847"/>
      <c r="W125" s="847"/>
      <c r="X125" s="847"/>
      <c r="Y125" s="1004"/>
      <c r="Z125" s="850"/>
      <c r="AA125" s="853"/>
      <c r="AB125" s="850"/>
      <c r="AC125" s="850"/>
      <c r="AD125" s="850"/>
    </row>
    <row customHeight="1" ht="9">
      <c r="A126" s="849"/>
      <c r="B126" s="849"/>
      <c r="C126" s="847"/>
      <c r="D126" s="847"/>
      <c r="E126" s="847"/>
      <c r="F126" s="847"/>
      <c r="G126" s="847"/>
      <c r="H126" s="895"/>
      <c r="I126" s="895"/>
      <c r="J126" s="895"/>
      <c r="K126" s="895"/>
      <c r="L126" s="895"/>
      <c r="M126" s="847"/>
      <c r="N126" s="894"/>
      <c r="O126" s="961"/>
      <c r="P126" s="961"/>
      <c r="Q126" s="961"/>
      <c r="R126" s="961"/>
      <c r="S126" s="847"/>
      <c r="T126" s="847"/>
      <c r="U126" s="847"/>
      <c r="V126" s="847"/>
      <c r="W126" s="847"/>
      <c r="X126" s="847"/>
      <c r="Y126" s="1004"/>
      <c r="Z126" s="850"/>
      <c r="AA126" s="853"/>
      <c r="AB126" s="850"/>
      <c r="AC126" s="850"/>
      <c r="AD126" s="850"/>
    </row>
    <row customHeight="1" ht="9">
      <c r="A127" s="849"/>
      <c r="B127" s="849"/>
      <c r="C127" s="847"/>
      <c r="D127" s="847"/>
      <c r="E127" s="847"/>
      <c r="F127" s="847"/>
      <c r="G127" s="847"/>
      <c r="H127" s="895"/>
      <c r="I127" s="895"/>
      <c r="J127" s="895"/>
      <c r="K127" s="895"/>
      <c r="L127" s="895"/>
      <c r="M127" s="847"/>
      <c r="N127" s="894"/>
      <c r="O127" s="961"/>
      <c r="P127" s="961"/>
      <c r="Q127" s="961"/>
      <c r="R127" s="961"/>
      <c r="S127" s="847"/>
      <c r="T127" s="847"/>
      <c r="U127" s="847"/>
      <c r="V127" s="847"/>
      <c r="W127" s="847"/>
      <c r="X127" s="847"/>
      <c r="Y127" s="1004"/>
      <c r="Z127" s="850"/>
      <c r="AA127" s="853"/>
      <c r="AB127" s="850"/>
      <c r="AC127" s="850"/>
      <c r="AD127" s="850"/>
    </row>
    <row customHeight="1" ht="9">
      <c r="A128" s="849"/>
      <c r="B128" s="849"/>
      <c r="C128" s="847"/>
      <c r="D128" s="847"/>
      <c r="E128" s="847"/>
      <c r="F128" s="847"/>
      <c r="G128" s="847"/>
      <c r="H128" s="895"/>
      <c r="I128" s="895"/>
      <c r="J128" s="895"/>
      <c r="K128" s="895"/>
      <c r="L128" s="895"/>
      <c r="M128" s="847"/>
      <c r="N128" s="894"/>
      <c r="O128" s="961"/>
      <c r="P128" s="961"/>
      <c r="Q128" s="961"/>
      <c r="R128" s="961"/>
      <c r="S128" s="847"/>
      <c r="T128" s="847"/>
      <c r="U128" s="847"/>
      <c r="V128" s="847"/>
      <c r="W128" s="847"/>
      <c r="X128" s="847"/>
      <c r="Y128" s="1004"/>
      <c r="Z128" s="850"/>
      <c r="AA128" s="853"/>
      <c r="AB128" s="850"/>
      <c r="AC128" s="850"/>
      <c r="AD128" s="850"/>
    </row>
    <row customHeight="1" ht="9">
      <c r="A129" s="849"/>
      <c r="B129" s="849"/>
      <c r="C129" s="847"/>
      <c r="D129" s="847"/>
      <c r="E129" s="847"/>
      <c r="F129" s="847"/>
      <c r="G129" s="847"/>
      <c r="H129" s="895"/>
      <c r="I129" s="895"/>
      <c r="J129" s="895"/>
      <c r="K129" s="895"/>
      <c r="L129" s="895"/>
      <c r="M129" s="847"/>
      <c r="N129" s="894"/>
      <c r="O129" s="961"/>
      <c r="P129" s="961"/>
      <c r="Q129" s="961"/>
      <c r="R129" s="961"/>
      <c r="S129" s="847"/>
      <c r="T129" s="847"/>
      <c r="U129" s="847"/>
      <c r="V129" s="847"/>
      <c r="W129" s="847"/>
      <c r="X129" s="847"/>
      <c r="Y129" s="1004"/>
      <c r="Z129" s="850"/>
      <c r="AA129" s="853"/>
      <c r="AB129" s="850"/>
      <c r="AC129" s="850"/>
      <c r="AD129" s="850"/>
    </row>
    <row customHeight="1" ht="9">
      <c r="A130" s="849"/>
      <c r="B130" s="849"/>
      <c r="C130" s="847"/>
      <c r="D130" s="847"/>
      <c r="E130" s="847"/>
      <c r="F130" s="847"/>
      <c r="G130" s="847"/>
      <c r="H130" s="895"/>
      <c r="I130" s="895"/>
      <c r="J130" s="895"/>
      <c r="K130" s="895"/>
      <c r="L130" s="895"/>
      <c r="M130" s="847"/>
      <c r="N130" s="894"/>
      <c r="O130" s="963"/>
      <c r="P130" s="963"/>
      <c r="Q130" s="963"/>
      <c r="R130" s="963"/>
      <c r="S130" s="847"/>
      <c r="T130" s="847"/>
      <c r="U130" s="847"/>
      <c r="V130" s="847"/>
      <c r="W130" s="847"/>
      <c r="X130" s="847"/>
      <c r="Y130" s="1004"/>
      <c r="Z130" s="850"/>
      <c r="AA130" s="853"/>
      <c r="AB130" s="850"/>
      <c r="AC130" s="850"/>
      <c r="AD130" s="850"/>
    </row>
    <row customHeight="1" ht="9">
      <c r="A131" s="849"/>
      <c r="B131" s="849"/>
      <c r="C131" s="847"/>
      <c r="D131" s="847"/>
      <c r="E131" s="847"/>
      <c r="F131" s="847"/>
      <c r="G131" s="847"/>
      <c r="H131" s="895"/>
      <c r="I131" s="895"/>
      <c r="J131" s="895"/>
      <c r="K131" s="895"/>
      <c r="L131" s="895"/>
      <c r="M131" s="847"/>
      <c r="N131" s="894"/>
      <c r="O131" s="964"/>
      <c r="P131" s="964"/>
      <c r="Q131" s="964"/>
      <c r="R131" s="964"/>
      <c r="S131" s="847"/>
      <c r="T131" s="847"/>
      <c r="U131" s="847"/>
      <c r="V131" s="847"/>
      <c r="W131" s="847"/>
      <c r="X131" s="847"/>
      <c r="Y131" s="1004"/>
      <c r="Z131" s="850"/>
      <c r="AA131" s="853"/>
      <c r="AB131" s="850"/>
      <c r="AC131" s="850"/>
      <c r="AD131" s="850"/>
    </row>
    <row customHeight="1" ht="9">
      <c r="A132" s="849"/>
      <c r="B132" s="849"/>
      <c r="C132" s="847"/>
      <c r="D132" s="847"/>
      <c r="E132" s="847"/>
      <c r="F132" s="847"/>
      <c r="G132" s="847"/>
      <c r="H132" s="895"/>
      <c r="I132" s="895"/>
      <c r="J132" s="895"/>
      <c r="K132" s="895"/>
      <c r="L132" s="895"/>
      <c r="M132" s="847"/>
      <c r="N132" s="894"/>
      <c r="O132" s="963"/>
      <c r="P132" s="963"/>
      <c r="Q132" s="963"/>
      <c r="R132" s="963"/>
      <c r="S132" s="847"/>
      <c r="T132" s="847"/>
      <c r="U132" s="847"/>
      <c r="V132" s="847"/>
      <c r="W132" s="847"/>
      <c r="X132" s="847"/>
      <c r="Y132" s="1004"/>
      <c r="Z132" s="850"/>
      <c r="AA132" s="853"/>
      <c r="AB132" s="850"/>
      <c r="AC132" s="850"/>
      <c r="AD132" s="850"/>
    </row>
    <row customHeight="1" ht="9">
      <c r="A133" s="849"/>
      <c r="B133" s="849"/>
      <c r="C133" s="847"/>
      <c r="D133" s="847"/>
      <c r="E133" s="847"/>
      <c r="F133" s="847"/>
      <c r="G133" s="847"/>
      <c r="H133" s="895"/>
      <c r="I133" s="895"/>
      <c r="J133" s="895"/>
      <c r="K133" s="895"/>
      <c r="L133" s="895"/>
      <c r="M133" s="847"/>
      <c r="N133" s="894"/>
      <c r="O133" s="964"/>
      <c r="P133" s="964"/>
      <c r="Q133" s="964"/>
      <c r="R133" s="964"/>
      <c r="S133" s="847"/>
      <c r="T133" s="847"/>
      <c r="U133" s="847"/>
      <c r="V133" s="847"/>
      <c r="W133" s="847"/>
      <c r="X133" s="847"/>
      <c r="Y133" s="1004"/>
      <c r="Z133" s="850"/>
      <c r="AA133" s="853"/>
      <c r="AB133" s="850"/>
      <c r="AC133" s="850"/>
      <c r="AD133" s="850"/>
    </row>
    <row customHeight="1" ht="9">
      <c r="A134" s="849"/>
      <c r="B134" s="849"/>
      <c r="C134" s="847"/>
      <c r="D134" s="847"/>
      <c r="E134" s="847"/>
      <c r="F134" s="847"/>
      <c r="G134" s="847"/>
      <c r="H134" s="895"/>
      <c r="I134" s="895"/>
      <c r="J134" s="895"/>
      <c r="K134" s="895"/>
      <c r="L134" s="895"/>
      <c r="M134" s="847"/>
      <c r="N134" s="894"/>
      <c r="O134" s="961"/>
      <c r="P134" s="961"/>
      <c r="Q134" s="961"/>
      <c r="R134" s="961"/>
      <c r="S134" s="847"/>
      <c r="T134" s="847"/>
      <c r="U134" s="847"/>
      <c r="V134" s="847"/>
      <c r="W134" s="847"/>
      <c r="X134" s="847"/>
      <c r="Y134" s="1004"/>
      <c r="Z134" s="850"/>
      <c r="AA134" s="853"/>
      <c r="AB134" s="850"/>
      <c r="AC134" s="850"/>
      <c r="AD134" s="850"/>
    </row>
    <row customHeight="1" ht="9">
      <c r="A135" s="849"/>
      <c r="B135" s="849"/>
      <c r="C135" s="847"/>
      <c r="D135" s="847"/>
      <c r="E135" s="847"/>
      <c r="F135" s="847"/>
      <c r="G135" s="847"/>
      <c r="H135" s="895"/>
      <c r="I135" s="895"/>
      <c r="J135" s="895"/>
      <c r="K135" s="895"/>
      <c r="L135" s="895"/>
      <c r="M135" s="847"/>
      <c r="N135" s="894"/>
      <c r="O135" s="961"/>
      <c r="P135" s="961"/>
      <c r="Q135" s="961"/>
      <c r="R135" s="961"/>
      <c r="S135" s="847"/>
      <c r="T135" s="847"/>
      <c r="U135" s="847"/>
      <c r="V135" s="847"/>
      <c r="W135" s="847"/>
      <c r="X135" s="847"/>
      <c r="Y135" s="1004"/>
      <c r="Z135" s="850"/>
      <c r="AA135" s="853"/>
      <c r="AB135" s="850"/>
      <c r="AC135" s="850"/>
      <c r="AD135" s="850"/>
    </row>
    <row customHeight="1" ht="9">
      <c r="A136" s="849"/>
      <c r="B136" s="849"/>
      <c r="C136" s="847"/>
      <c r="D136" s="847"/>
      <c r="E136" s="847"/>
      <c r="F136" s="847"/>
      <c r="G136" s="847"/>
      <c r="H136" s="895"/>
      <c r="I136" s="895"/>
      <c r="J136" s="895"/>
      <c r="K136" s="895"/>
      <c r="L136" s="895"/>
      <c r="M136" s="847"/>
      <c r="N136" s="894"/>
      <c r="O136" s="961"/>
      <c r="P136" s="961"/>
      <c r="Q136" s="961"/>
      <c r="R136" s="961"/>
      <c r="S136" s="847"/>
      <c r="T136" s="847"/>
      <c r="U136" s="847"/>
      <c r="V136" s="847"/>
      <c r="W136" s="847"/>
      <c r="X136" s="847"/>
      <c r="Y136" s="1004"/>
      <c r="Z136" s="850"/>
      <c r="AA136" s="853"/>
      <c r="AB136" s="850"/>
      <c r="AC136" s="850"/>
      <c r="AD136" s="850"/>
    </row>
    <row customHeight="1" ht="9">
      <c r="A137" s="849"/>
      <c r="B137" s="849"/>
      <c r="C137" s="847"/>
      <c r="D137" s="847"/>
      <c r="E137" s="847"/>
      <c r="F137" s="847"/>
      <c r="G137" s="847"/>
      <c r="H137" s="895"/>
      <c r="I137" s="895"/>
      <c r="J137" s="895"/>
      <c r="K137" s="895"/>
      <c r="L137" s="895"/>
      <c r="M137" s="847"/>
      <c r="N137" s="894"/>
      <c r="O137" s="965"/>
      <c r="P137" s="965"/>
      <c r="Q137" s="965"/>
      <c r="R137" s="965"/>
      <c r="S137" s="847"/>
      <c r="T137" s="847"/>
      <c r="U137" s="847"/>
      <c r="V137" s="847"/>
      <c r="W137" s="847"/>
      <c r="X137" s="847"/>
      <c r="Y137" s="1004"/>
      <c r="Z137" s="850"/>
      <c r="AA137" s="853"/>
      <c r="AB137" s="850"/>
      <c r="AC137" s="850"/>
      <c r="AD137" s="850"/>
    </row>
    <row customHeight="1" ht="9">
      <c r="A138" s="849"/>
      <c r="B138" s="849"/>
      <c r="C138" s="847"/>
      <c r="D138" s="847"/>
      <c r="E138" s="847"/>
      <c r="F138" s="847"/>
      <c r="G138" s="847"/>
      <c r="H138" s="895"/>
      <c r="I138" s="895"/>
      <c r="J138" s="895"/>
      <c r="K138" s="895"/>
      <c r="L138" s="895"/>
      <c r="M138" s="847"/>
      <c r="N138" s="894"/>
      <c r="O138" s="962"/>
      <c r="P138" s="962"/>
      <c r="Q138" s="962"/>
      <c r="R138" s="962"/>
      <c r="S138" s="847"/>
      <c r="T138" s="847"/>
      <c r="U138" s="847"/>
      <c r="V138" s="847"/>
      <c r="W138" s="847"/>
      <c r="X138" s="847"/>
      <c r="Y138" s="1004"/>
      <c r="Z138" s="850"/>
      <c r="AA138" s="853"/>
      <c r="AB138" s="850"/>
      <c r="AC138" s="850"/>
      <c r="AD138" s="850"/>
    </row>
    <row customHeight="1" ht="9">
      <c r="A139" s="849"/>
      <c r="B139" s="849"/>
      <c r="C139" s="847"/>
      <c r="D139" s="847"/>
      <c r="E139" s="847"/>
      <c r="F139" s="847"/>
      <c r="G139" s="847"/>
      <c r="H139" s="895"/>
      <c r="I139" s="895"/>
      <c r="J139" s="895"/>
      <c r="K139" s="895"/>
      <c r="L139" s="895"/>
      <c r="M139" s="847"/>
      <c r="N139" s="894"/>
      <c r="O139" s="847"/>
      <c r="P139" s="847"/>
      <c r="Q139" s="847"/>
      <c r="R139" s="847"/>
      <c r="S139" s="847"/>
      <c r="T139" s="847"/>
      <c r="U139" s="847"/>
      <c r="V139" s="847"/>
      <c r="W139" s="847"/>
      <c r="X139" s="847"/>
      <c r="Y139" s="1004"/>
      <c r="Z139" s="850"/>
      <c r="AA139" s="853"/>
      <c r="AB139" s="850"/>
      <c r="AC139" s="850"/>
      <c r="AD139" s="850"/>
    </row>
    <row customHeight="1" ht="9">
      <c r="A140" s="849"/>
      <c r="B140" s="849"/>
      <c r="C140" s="847"/>
      <c r="D140" s="847"/>
      <c r="E140" s="847"/>
      <c r="F140" s="847"/>
      <c r="G140" s="847"/>
      <c r="H140" s="895"/>
      <c r="I140" s="895"/>
      <c r="J140" s="895"/>
      <c r="K140" s="895"/>
      <c r="L140" s="895"/>
      <c r="M140" s="847"/>
      <c r="N140" s="894"/>
      <c r="O140" s="847"/>
      <c r="P140" s="847"/>
      <c r="Q140" s="847"/>
      <c r="R140" s="847"/>
      <c r="S140" s="847"/>
      <c r="T140" s="847"/>
      <c r="U140" s="847"/>
      <c r="V140" s="847"/>
      <c r="W140" s="847"/>
      <c r="X140" s="847"/>
      <c r="Y140" s="1004"/>
      <c r="Z140" s="850"/>
      <c r="AA140" s="853"/>
      <c r="AB140" s="850"/>
      <c r="AC140" s="850"/>
      <c r="AD140" s="850"/>
    </row>
    <row customHeight="1" ht="9">
      <c r="A141" s="849"/>
      <c r="B141" s="849"/>
      <c r="C141" s="847"/>
      <c r="D141" s="847"/>
      <c r="E141" s="847"/>
      <c r="F141" s="847"/>
      <c r="G141" s="847"/>
      <c r="H141" s="895"/>
      <c r="I141" s="895"/>
      <c r="J141" s="895"/>
      <c r="K141" s="895"/>
      <c r="L141" s="895"/>
      <c r="M141" s="847"/>
      <c r="N141" s="894"/>
      <c r="O141" s="847"/>
      <c r="P141" s="847"/>
      <c r="Q141" s="847"/>
      <c r="R141" s="847"/>
      <c r="S141" s="847"/>
      <c r="T141" s="847"/>
      <c r="U141" s="847"/>
      <c r="V141" s="847"/>
      <c r="W141" s="847"/>
      <c r="X141" s="847"/>
      <c r="Y141" s="1004"/>
      <c r="Z141" s="850"/>
      <c r="AA141" s="853"/>
      <c r="AB141" s="850"/>
      <c r="AC141" s="850"/>
      <c r="AD141" s="850"/>
    </row>
    <row customHeight="1" ht="9">
      <c r="A142" s="849"/>
      <c r="B142" s="849"/>
      <c r="C142" s="847"/>
      <c r="D142" s="847"/>
      <c r="E142" s="847"/>
      <c r="F142" s="847"/>
      <c r="G142" s="847"/>
      <c r="H142" s="895"/>
      <c r="I142" s="895"/>
      <c r="J142" s="895"/>
      <c r="K142" s="895"/>
      <c r="L142" s="895"/>
      <c r="M142" s="847"/>
      <c r="N142" s="894"/>
      <c r="O142" s="847"/>
      <c r="P142" s="847"/>
      <c r="Q142" s="847"/>
      <c r="R142" s="847"/>
      <c r="S142" s="847"/>
      <c r="T142" s="847"/>
      <c r="U142" s="847"/>
      <c r="V142" s="847"/>
      <c r="W142" s="847"/>
      <c r="X142" s="847"/>
      <c r="Y142" s="1004"/>
      <c r="Z142" s="850"/>
      <c r="AA142" s="853"/>
      <c r="AB142" s="850"/>
      <c r="AC142" s="850"/>
      <c r="AD142" s="850"/>
    </row>
    <row customHeight="1" ht="9">
      <c r="A143" s="849"/>
      <c r="B143" s="849"/>
      <c r="C143" s="847"/>
      <c r="D143" s="847"/>
      <c r="E143" s="847"/>
      <c r="F143" s="847"/>
      <c r="G143" s="847"/>
      <c r="H143" s="895"/>
      <c r="I143" s="895"/>
      <c r="J143" s="895"/>
      <c r="K143" s="895"/>
      <c r="L143" s="895"/>
      <c r="M143" s="847"/>
      <c r="N143" s="894"/>
      <c r="O143" s="847"/>
      <c r="P143" s="847"/>
      <c r="Q143" s="847"/>
      <c r="R143" s="847"/>
      <c r="S143" s="847"/>
      <c r="T143" s="847"/>
      <c r="U143" s="847"/>
      <c r="V143" s="847"/>
      <c r="W143" s="847"/>
      <c r="X143" s="847"/>
      <c r="Y143" s="1004"/>
      <c r="Z143" s="850"/>
      <c r="AA143" s="853"/>
      <c r="AB143" s="850"/>
      <c r="AC143" s="850"/>
      <c r="AD143" s="850"/>
    </row>
    <row customHeight="1" ht="9">
      <c r="A144" s="849"/>
      <c r="B144" s="849"/>
      <c r="C144" s="847"/>
      <c r="D144" s="847"/>
      <c r="E144" s="847"/>
      <c r="F144" s="847"/>
      <c r="G144" s="847"/>
      <c r="H144" s="895"/>
      <c r="I144" s="895"/>
      <c r="J144" s="895"/>
      <c r="K144" s="895"/>
      <c r="L144" s="895"/>
      <c r="M144" s="847"/>
      <c r="N144" s="894"/>
      <c r="O144" s="847"/>
      <c r="P144" s="847"/>
      <c r="Q144" s="847"/>
      <c r="R144" s="847"/>
      <c r="S144" s="847"/>
      <c r="T144" s="847"/>
      <c r="U144" s="847"/>
      <c r="V144" s="847"/>
      <c r="W144" s="847"/>
      <c r="X144" s="847"/>
      <c r="Y144" s="1004"/>
      <c r="Z144" s="850"/>
      <c r="AA144" s="853"/>
      <c r="AB144" s="850"/>
      <c r="AC144" s="850"/>
      <c r="AD144" s="850"/>
    </row>
    <row customHeight="1" ht="9">
      <c r="A145" s="849"/>
      <c r="B145" s="849"/>
      <c r="C145" s="847"/>
      <c r="D145" s="847"/>
      <c r="E145" s="847"/>
      <c r="F145" s="847"/>
      <c r="G145" s="847"/>
      <c r="H145" s="895"/>
      <c r="I145" s="895"/>
      <c r="J145" s="895"/>
      <c r="K145" s="895"/>
      <c r="L145" s="895"/>
      <c r="M145" s="847"/>
      <c r="N145" s="894"/>
      <c r="O145" s="847"/>
      <c r="P145" s="847"/>
      <c r="Q145" s="847"/>
      <c r="R145" s="847"/>
      <c r="S145" s="847"/>
      <c r="T145" s="847"/>
      <c r="U145" s="847"/>
      <c r="V145" s="847"/>
      <c r="W145" s="847"/>
      <c r="X145" s="847"/>
      <c r="Y145" s="1004"/>
      <c r="Z145" s="850"/>
      <c r="AA145" s="853"/>
      <c r="AB145" s="850"/>
      <c r="AC145" s="850"/>
      <c r="AD145" s="850"/>
    </row>
    <row customHeight="1" ht="9">
      <c r="A146" s="849"/>
      <c r="B146" s="849"/>
      <c r="C146" s="847"/>
      <c r="D146" s="847"/>
      <c r="E146" s="847"/>
      <c r="F146" s="847"/>
      <c r="G146" s="847"/>
      <c r="H146" s="895"/>
      <c r="I146" s="895"/>
      <c r="J146" s="895"/>
      <c r="K146" s="895"/>
      <c r="L146" s="895"/>
      <c r="M146" s="847"/>
      <c r="N146" s="894"/>
      <c r="O146" s="847"/>
      <c r="P146" s="847"/>
      <c r="Q146" s="847"/>
      <c r="R146" s="847"/>
      <c r="S146" s="847"/>
      <c r="T146" s="847"/>
      <c r="U146" s="847"/>
      <c r="V146" s="847"/>
      <c r="W146" s="847"/>
      <c r="X146" s="847"/>
      <c r="Y146" s="1004"/>
      <c r="Z146" s="850"/>
      <c r="AA146" s="853"/>
      <c r="AB146" s="850"/>
      <c r="AC146" s="850"/>
      <c r="AD146" s="850"/>
    </row>
    <row customHeight="1" ht="9">
      <c r="A147" s="849"/>
      <c r="B147" s="849"/>
      <c r="C147" s="849"/>
      <c r="D147" s="849"/>
      <c r="E147" s="849"/>
      <c r="F147" s="849"/>
      <c r="G147" s="849"/>
      <c r="H147" s="849"/>
      <c r="I147" s="849"/>
      <c r="J147" s="849"/>
      <c r="K147" s="849"/>
      <c r="L147" s="849"/>
      <c r="M147" s="849"/>
      <c r="N147" s="849"/>
      <c r="O147" s="849"/>
      <c r="P147" s="849"/>
      <c r="Q147" s="849"/>
      <c r="R147" s="849"/>
      <c r="S147" s="849"/>
      <c r="T147" s="849"/>
      <c r="U147" s="849"/>
      <c r="V147" s="849"/>
      <c r="W147" s="849"/>
      <c r="X147" s="849"/>
      <c r="Y147" s="849"/>
      <c r="Z147" s="849"/>
      <c r="AA147" s="849"/>
      <c r="AB147" s="849"/>
      <c r="AC147" s="849"/>
      <c r="AD147" s="849"/>
    </row>
    <row customHeight="1" ht="90">
      <c r="A148" s="849" t="s">
        <v>1965</v>
      </c>
      <c r="B148" s="849"/>
      <c r="C148" s="847" t="s">
        <v>2518</v>
      </c>
      <c r="D148" s="847" t="s">
        <v>1869</v>
      </c>
      <c r="E148" s="847" t="s">
        <v>1967</v>
      </c>
      <c r="F148" s="847" t="s">
        <v>2519</v>
      </c>
      <c r="G148" s="847"/>
      <c r="H148" s="847"/>
      <c r="I148" s="967"/>
      <c r="J148" s="967"/>
      <c r="K148" s="967"/>
      <c r="L148" s="967"/>
      <c r="M148" s="89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2"/>
      <c r="O148" s="847"/>
      <c r="P148" s="848"/>
      <c r="Q148" s="848"/>
      <c r="R148" s="848"/>
      <c r="S148" s="847"/>
      <c r="T148" s="847" t="s">
        <v>2520</v>
      </c>
      <c r="U148" s="84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8"/>
      <c r="W148" s="848"/>
      <c r="X148" s="847" t="s">
        <v>2521</v>
      </c>
      <c r="Y148" s="1004"/>
      <c r="Z148" s="850"/>
      <c r="AA148" s="853"/>
      <c r="AB148" s="850"/>
      <c r="AC148" s="850"/>
      <c r="AD148" s="850"/>
    </row>
    <row customHeight="1" ht="9">
      <c r="A149" s="849"/>
      <c r="B149" s="849"/>
      <c r="C149" s="849"/>
      <c r="D149" s="849"/>
      <c r="E149" s="849"/>
      <c r="F149" s="849"/>
      <c r="G149" s="849"/>
      <c r="H149" s="849"/>
      <c r="I149" s="849"/>
      <c r="J149" s="849"/>
      <c r="K149" s="849"/>
      <c r="L149" s="849"/>
      <c r="M149" s="849"/>
      <c r="N149" s="849"/>
      <c r="O149" s="849"/>
      <c r="P149" s="849"/>
      <c r="Q149" s="849"/>
      <c r="R149" s="849"/>
      <c r="S149" s="849"/>
      <c r="T149" s="849"/>
      <c r="U149" s="849"/>
      <c r="V149" s="849"/>
      <c r="W149" s="849"/>
      <c r="X149" s="849"/>
      <c r="Y149" s="849"/>
      <c r="Z149" s="849"/>
      <c r="AA149" s="849"/>
      <c r="AB149" s="849"/>
      <c r="AC149" s="849"/>
      <c r="AD149" s="849"/>
    </row>
    <row customHeight="1" ht="9">
      <c r="A150" s="849" t="s">
        <v>1969</v>
      </c>
      <c r="B150" s="849"/>
      <c r="C150" s="847"/>
      <c r="D150" s="847"/>
      <c r="E150" s="847"/>
      <c r="F150" s="847"/>
      <c r="G150" s="847"/>
      <c r="H150" s="847"/>
      <c r="I150" s="847"/>
      <c r="J150" s="847"/>
      <c r="K150" s="847"/>
      <c r="L150" s="847"/>
      <c r="M150" s="847"/>
      <c r="N150" s="847"/>
      <c r="O150" s="847"/>
      <c r="P150" s="847"/>
      <c r="Q150" s="847"/>
      <c r="R150" s="847"/>
      <c r="S150" s="847"/>
      <c r="T150" s="847"/>
      <c r="U150" s="847"/>
      <c r="V150" s="847"/>
      <c r="W150" s="847"/>
      <c r="X150" s="847"/>
      <c r="Y150" s="1004"/>
      <c r="Z150" s="850"/>
      <c r="AA150" s="853"/>
      <c r="AB150" s="850"/>
      <c r="AC150" s="850"/>
      <c r="AD150" s="850"/>
    </row>
    <row customHeight="1" ht="9">
      <c r="A151" s="849"/>
      <c r="B151" s="849"/>
      <c r="C151" s="849"/>
      <c r="D151" s="849"/>
      <c r="E151" s="849"/>
      <c r="F151" s="849"/>
      <c r="G151" s="849"/>
      <c r="H151" s="849"/>
      <c r="I151" s="849"/>
      <c r="J151" s="849"/>
      <c r="K151" s="849"/>
      <c r="L151" s="849"/>
      <c r="M151" s="849"/>
      <c r="N151" s="849"/>
      <c r="O151" s="849"/>
      <c r="P151" s="849"/>
      <c r="Q151" s="849"/>
      <c r="R151" s="849"/>
      <c r="S151" s="849"/>
      <c r="T151" s="849"/>
      <c r="U151" s="849"/>
      <c r="V151" s="849"/>
      <c r="W151" s="849"/>
      <c r="X151" s="849"/>
      <c r="Y151" s="849"/>
      <c r="Z151" s="849"/>
      <c r="AA151" s="849"/>
      <c r="AB151" s="849"/>
      <c r="AC151" s="849"/>
      <c r="AD151" s="849"/>
    </row>
    <row customHeight="1" ht="9">
      <c r="A152" s="849" t="s">
        <v>1971</v>
      </c>
      <c r="B152" s="849"/>
      <c r="C152" s="847"/>
      <c r="D152" s="847"/>
      <c r="E152" s="847"/>
      <c r="F152" s="847"/>
      <c r="G152" s="847"/>
      <c r="H152" s="847"/>
      <c r="I152" s="847"/>
      <c r="J152" s="847"/>
      <c r="K152" s="847"/>
      <c r="L152" s="847"/>
      <c r="M152" s="847"/>
      <c r="N152" s="847"/>
      <c r="O152" s="847"/>
      <c r="P152" s="847"/>
      <c r="Q152" s="847"/>
      <c r="R152" s="847"/>
      <c r="S152" s="847"/>
      <c r="T152" s="847"/>
      <c r="U152" s="847"/>
      <c r="V152" s="847"/>
      <c r="W152" s="847"/>
      <c r="X152" s="847"/>
      <c r="Y152" s="1004"/>
      <c r="Z152" s="850"/>
      <c r="AA152" s="853"/>
      <c r="AB152" s="850"/>
      <c r="AC152" s="850"/>
      <c r="AD152" s="850"/>
    </row>
    <row customHeight="1" ht="9">
      <c r="A153" s="849"/>
      <c r="B153" s="849"/>
      <c r="C153" s="849"/>
      <c r="D153" s="849"/>
      <c r="E153" s="849"/>
      <c r="F153" s="849"/>
      <c r="G153" s="849"/>
      <c r="H153" s="849"/>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row>
    <row customHeight="1" ht="9">
      <c r="A154" s="849" t="s">
        <v>1976</v>
      </c>
      <c r="B154" s="849"/>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1004"/>
      <c r="Z154" s="850"/>
      <c r="AA154" s="853"/>
      <c r="AB154" s="850"/>
      <c r="AC154" s="850"/>
      <c r="AD154" s="85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11A078-6CCC-9949-D0EE-4ACD18D00A4B}"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2.28125" hidden="1" customWidth="1"/>
    <col min="6" max="8" style="1780" width="12.28125" hidden="1" customWidth="1"/>
    <col min="9" max="9" style="2401" width="3.00390625" customWidth="1"/>
    <col min="10" max="11" style="348" width="3.00390625" customWidth="1"/>
    <col min="12" max="12" style="2411" width="12.00390625" customWidth="1"/>
    <col min="13" max="13" style="1639" width="31.00390625" customWidth="1"/>
    <col min="14" max="14" style="1639" width="1.00390625" customWidth="1"/>
    <col min="15" max="18" style="1639" width="24.00390625" customWidth="1"/>
    <col min="19" max="19" style="1639" width="11.00390625" customWidth="1"/>
    <col min="20" max="20" style="1639" width="3.7109375" customWidth="1"/>
    <col min="21" max="21" style="1639" width="11.00390625" customWidth="1"/>
    <col min="22" max="22" style="1639" width="8.57421875" customWidth="1"/>
    <col min="23" max="23" style="1639" width="4.00390625" customWidth="1"/>
    <col min="24" max="24" style="1639" width="115.00390625" customWidth="1"/>
    <col min="25" max="29" style="1646" width="10.00390625" customWidth="1"/>
    <col min="30" max="30" style="1639" width="10.57421875" hidden="1"/>
  </cols>
  <sheetData>
    <row customHeight="1" ht="22.5" hidden="1">
      <c r="R1" s="331"/>
      <c r="S1" s="331"/>
      <c r="AD1" s="1159" t="s">
        <v>14</v>
      </c>
    </row>
    <row customHeight="1" ht="14.25" hidden="1">
      <c r="V2" s="331"/>
      <c r="AD2" s="1159">
        <v>0</v>
      </c>
    </row>
    <row customHeight="1" ht="14.25" hidden="1">
      <c r="AD3" s="1159">
        <v>0</v>
      </c>
    </row>
    <row customHeight="1" ht="14.699999999999998">
      <c r="J4" s="380"/>
      <c r="K4" s="380"/>
      <c r="L4" s="1279"/>
      <c r="M4" s="367"/>
      <c r="N4" s="367"/>
      <c r="O4" s="513"/>
      <c r="P4" s="513"/>
      <c r="Q4" s="513"/>
      <c r="R4" s="513"/>
      <c r="S4" s="513"/>
      <c r="T4" s="513"/>
      <c r="U4" s="513"/>
      <c r="V4" s="513"/>
      <c r="AD4" s="1159">
        <v>14</v>
      </c>
    </row>
    <row customHeight="1" ht="67.2">
      <c r="J5" s="380"/>
      <c r="K5" s="380"/>
      <c r="L5" s="2607" t="s">
        <v>2522</v>
      </c>
      <c r="M5" s="2607"/>
      <c r="N5" s="2607"/>
      <c r="O5" s="2607"/>
      <c r="P5" s="2607"/>
      <c r="Q5" s="2607"/>
      <c r="R5" s="2607"/>
      <c r="S5" s="2607"/>
      <c r="T5" s="2607"/>
      <c r="U5" s="2607"/>
      <c r="V5" s="1247"/>
      <c r="AD5" s="1159">
        <v>64</v>
      </c>
    </row>
    <row customHeight="1" ht="14.699999999999998">
      <c r="J6" s="380"/>
      <c r="K6" s="380"/>
      <c r="L6" s="2608" t="str">
        <f>IF(org=0,"Не определено",org)</f>
        <v>АО "Теплоэнерго"</v>
      </c>
      <c r="M6" s="2608"/>
      <c r="N6" s="2608"/>
      <c r="O6" s="2608"/>
      <c r="P6" s="2608"/>
      <c r="Q6" s="2608"/>
      <c r="R6" s="2608"/>
      <c r="S6" s="2608"/>
      <c r="T6" s="2608"/>
      <c r="U6" s="2608"/>
      <c r="V6" s="1247"/>
      <c r="AD6" s="1159">
        <v>14</v>
      </c>
    </row>
    <row customHeight="1" ht="14.699999999999998">
      <c r="J7" s="380"/>
      <c r="K7" s="380"/>
      <c r="L7" s="1279"/>
      <c r="M7" s="367"/>
      <c r="N7" s="367"/>
      <c r="O7" s="326"/>
      <c r="P7" s="326"/>
      <c r="Q7" s="326"/>
      <c r="R7" s="326"/>
      <c r="S7" s="326"/>
      <c r="T7" s="326"/>
      <c r="U7" s="326"/>
      <c r="V7" s="326"/>
      <c r="W7" s="513"/>
      <c r="AD7" s="1159">
        <v>14</v>
      </c>
    </row>
    <row s="1857" customFormat="1" customHeight="1" ht="48.29999999999999">
      <c r="A8" s="1372"/>
      <c r="B8" s="1372"/>
      <c r="C8" s="1372"/>
      <c r="D8" s="1372"/>
      <c r="E8" s="1372"/>
      <c r="F8" s="1372"/>
      <c r="G8" s="1372"/>
      <c r="H8" s="1372"/>
      <c r="L8" s="1280"/>
      <c r="M8" s="299" t="s">
        <v>41</v>
      </c>
      <c r="N8" s="308"/>
      <c r="O8" s="2255" t="str">
        <f>IF(TITLE_NAME_OR_PR_CHANGE="",IF(TITLE_NAME_OR_PR="","",TITLE_NAME_OR_PR),TITLE_NAME_OR_PR_CHANGE)</f>
        <v/>
      </c>
      <c r="P8" s="2255"/>
      <c r="Q8" s="2255"/>
      <c r="R8" s="2255"/>
      <c r="S8" s="2255"/>
      <c r="T8" s="2255"/>
      <c r="U8" s="2255"/>
      <c r="V8" s="330"/>
      <c r="W8" s="330"/>
      <c r="X8" s="284"/>
      <c r="Y8" s="372"/>
      <c r="Z8" s="372"/>
      <c r="AA8" s="372"/>
      <c r="AB8" s="372"/>
      <c r="AC8" s="372"/>
      <c r="AD8" s="422">
        <v>46</v>
      </c>
    </row>
    <row s="1857" customFormat="1" customHeight="1" ht="24">
      <c r="A9" s="1372"/>
      <c r="B9" s="1372"/>
      <c r="C9" s="1372"/>
      <c r="D9" s="1372"/>
      <c r="E9" s="1372"/>
      <c r="F9" s="1372"/>
      <c r="G9" s="1372"/>
      <c r="H9" s="1372"/>
      <c r="L9" s="1280"/>
      <c r="M9" s="299" t="s">
        <v>441</v>
      </c>
      <c r="N9" s="308"/>
      <c r="O9" s="2255" t="str">
        <f>IF(TITLE_DATE_CHANGE_PERIOD="",IF(TITLE_DATE_PR="","",TITLE_DATE_PR),TITLE_DATE_CHANGE_PERIOD)</f>
        <v/>
      </c>
      <c r="P9" s="2255"/>
      <c r="Q9" s="2255"/>
      <c r="R9" s="2255"/>
      <c r="S9" s="2255"/>
      <c r="T9" s="2255"/>
      <c r="U9" s="2255"/>
      <c r="V9" s="330"/>
      <c r="W9" s="330"/>
      <c r="X9" s="284"/>
      <c r="Y9" s="372"/>
      <c r="Z9" s="372"/>
      <c r="AA9" s="372"/>
      <c r="AB9" s="372"/>
      <c r="AC9" s="372"/>
      <c r="AD9" s="422">
        <v>23</v>
      </c>
    </row>
    <row s="1857" customFormat="1" customHeight="1" ht="24">
      <c r="A10" s="1372"/>
      <c r="B10" s="1372"/>
      <c r="C10" s="1372"/>
      <c r="D10" s="1372"/>
      <c r="E10" s="1372"/>
      <c r="F10" s="1372"/>
      <c r="G10" s="1372"/>
      <c r="H10" s="1372"/>
      <c r="L10" s="1254"/>
      <c r="M10" s="299" t="s">
        <v>442</v>
      </c>
      <c r="N10" s="308"/>
      <c r="O10" s="2255" t="str">
        <f>IF(TITLE_NUMBER_PR_CHANGE="",IF(TITLE_NUMBER_PR="","",TITLE_NUMBER_PR),TITLE_NUMBER_PR_CHANGE)</f>
        <v/>
      </c>
      <c r="P10" s="2255"/>
      <c r="Q10" s="2255"/>
      <c r="R10" s="2255"/>
      <c r="S10" s="2255"/>
      <c r="T10" s="2255"/>
      <c r="U10" s="2255"/>
      <c r="V10" s="330"/>
      <c r="W10" s="330"/>
      <c r="X10" s="284"/>
      <c r="Y10" s="372"/>
      <c r="Z10" s="372"/>
      <c r="AA10" s="372"/>
      <c r="AB10" s="372"/>
      <c r="AC10" s="372"/>
      <c r="AD10" s="422">
        <v>23</v>
      </c>
    </row>
    <row s="1857" customFormat="1" customHeight="1" ht="24">
      <c r="A11" s="1372"/>
      <c r="B11" s="1372"/>
      <c r="C11" s="1372"/>
      <c r="D11" s="1372"/>
      <c r="E11" s="1372"/>
      <c r="F11" s="1372"/>
      <c r="G11" s="1372"/>
      <c r="H11" s="1372"/>
      <c r="L11" s="1254"/>
      <c r="M11" s="299" t="s">
        <v>42</v>
      </c>
      <c r="N11" s="308"/>
      <c r="O11" s="2255" t="str">
        <f>IF(TITLE_IST_PUB_CHANGE="",IF(TITLE_IST_PUB="","",TITLE_IST_PUB),TITLE_IST_PUB_CHANGE)</f>
        <v/>
      </c>
      <c r="P11" s="2255"/>
      <c r="Q11" s="2255"/>
      <c r="R11" s="2255"/>
      <c r="S11" s="2255"/>
      <c r="T11" s="2255"/>
      <c r="U11" s="2255"/>
      <c r="V11" s="330"/>
      <c r="W11" s="330"/>
      <c r="X11" s="284"/>
      <c r="Y11" s="372"/>
      <c r="Z11" s="372"/>
      <c r="AA11" s="372"/>
      <c r="AB11" s="372"/>
      <c r="AC11" s="372"/>
      <c r="AD11" s="422">
        <v>23</v>
      </c>
    </row>
    <row s="1857" customFormat="1" customHeight="1" ht="11.25" hidden="1">
      <c r="A12" s="1372"/>
      <c r="B12" s="1372"/>
      <c r="C12" s="1372"/>
      <c r="D12" s="1372"/>
      <c r="E12" s="1372"/>
      <c r="F12" s="1372"/>
      <c r="G12" s="1372"/>
      <c r="H12" s="1372"/>
      <c r="L12" s="2609"/>
      <c r="M12" s="2609"/>
      <c r="N12" s="1291"/>
      <c r="O12" s="330"/>
      <c r="P12" s="330"/>
      <c r="Q12" s="330"/>
      <c r="R12" s="330"/>
      <c r="S12" s="330"/>
      <c r="T12" s="330"/>
      <c r="U12" s="330"/>
      <c r="V12" s="282" t="s">
        <v>445</v>
      </c>
      <c r="Y12" s="372"/>
      <c r="Z12" s="372"/>
      <c r="AA12" s="372"/>
      <c r="AB12" s="372"/>
      <c r="AC12" s="372"/>
      <c r="AD12" s="422">
        <v>0</v>
      </c>
    </row>
    <row customHeight="1" ht="14.699999999999998">
      <c r="J13" s="380"/>
      <c r="K13" s="380"/>
      <c r="L13" s="1279"/>
      <c r="M13" s="367"/>
      <c r="N13" s="1248"/>
      <c r="O13" s="2256"/>
      <c r="P13" s="2256"/>
      <c r="Q13" s="2256"/>
      <c r="R13" s="2256"/>
      <c r="S13" s="2256"/>
      <c r="T13" s="2256"/>
      <c r="U13" s="2256"/>
      <c r="V13" s="2256"/>
      <c r="AD13" s="1159">
        <v>14</v>
      </c>
    </row>
    <row customHeight="1" ht="14.699999999999998">
      <c r="J14" s="380"/>
      <c r="K14" s="380"/>
      <c r="L14" s="2131" t="s">
        <v>318</v>
      </c>
      <c r="M14" s="2131"/>
      <c r="N14" s="2131"/>
      <c r="O14" s="2131"/>
      <c r="P14" s="2131"/>
      <c r="Q14" s="2131"/>
      <c r="R14" s="2131"/>
      <c r="S14" s="2131"/>
      <c r="T14" s="2131"/>
      <c r="U14" s="2131"/>
      <c r="V14" s="2131"/>
      <c r="W14" s="2131"/>
      <c r="X14" s="2131" t="s">
        <v>319</v>
      </c>
      <c r="AD14" s="1159">
        <v>14</v>
      </c>
    </row>
    <row customHeight="1" ht="14.699999999999998">
      <c r="J15" s="380"/>
      <c r="K15" s="380"/>
      <c r="L15" s="2277" t="s">
        <v>88</v>
      </c>
      <c r="M15" s="2213" t="s">
        <v>446</v>
      </c>
      <c r="N15" s="305"/>
      <c r="O15" s="2278" t="s">
        <v>2523</v>
      </c>
      <c r="P15" s="2279"/>
      <c r="Q15" s="2279"/>
      <c r="R15" s="2279"/>
      <c r="S15" s="2279"/>
      <c r="T15" s="2279"/>
      <c r="U15" s="2280"/>
      <c r="V15" s="2281" t="s">
        <v>448</v>
      </c>
      <c r="W15" s="2284" t="s">
        <v>1462</v>
      </c>
      <c r="X15" s="2131"/>
      <c r="AD15" s="1159">
        <v>14</v>
      </c>
    </row>
    <row customHeight="1" ht="35.699999999999996">
      <c r="J16" s="380"/>
      <c r="K16" s="380"/>
      <c r="L16" s="2277"/>
      <c r="M16" s="2213"/>
      <c r="N16" s="1035"/>
      <c r="O16" s="2264" t="s">
        <v>451</v>
      </c>
      <c r="P16" s="2264" t="s">
        <v>452</v>
      </c>
      <c r="Q16" s="2266" t="s">
        <v>453</v>
      </c>
      <c r="R16" s="2267"/>
      <c r="S16" s="2266" t="s">
        <v>467</v>
      </c>
      <c r="T16" s="2273"/>
      <c r="U16" s="2267"/>
      <c r="V16" s="2282"/>
      <c r="W16" s="2285"/>
      <c r="X16" s="2131"/>
      <c r="AD16" s="1159">
        <v>34</v>
      </c>
    </row>
    <row customHeight="1" ht="35.699999999999996">
      <c r="A17" s="1374" t="s">
        <v>154</v>
      </c>
      <c r="B17" s="1374" t="s">
        <v>155</v>
      </c>
      <c r="C17" s="1374" t="s">
        <v>156</v>
      </c>
      <c r="D17" s="1374" t="s">
        <v>157</v>
      </c>
      <c r="E17" s="1374"/>
      <c r="J17" s="380"/>
      <c r="K17" s="380"/>
      <c r="L17" s="2277"/>
      <c r="M17" s="2213"/>
      <c r="N17" s="306"/>
      <c r="O17" s="2265"/>
      <c r="P17" s="2265"/>
      <c r="Q17" s="1226" t="s">
        <v>462</v>
      </c>
      <c r="R17" s="1226" t="s">
        <v>463</v>
      </c>
      <c r="S17" s="1296" t="s">
        <v>464</v>
      </c>
      <c r="T17" s="2274" t="s">
        <v>465</v>
      </c>
      <c r="U17" s="2275"/>
      <c r="V17" s="2283"/>
      <c r="W17" s="2286"/>
      <c r="X17" s="2131"/>
      <c r="AD17" s="1159">
        <v>34</v>
      </c>
    </row>
    <row s="1645" customFormat="1" customHeight="1" ht="11.549999999999999">
      <c r="A18" s="1374"/>
      <c r="B18" s="1374"/>
      <c r="C18" s="1374"/>
      <c r="D18" s="1374"/>
      <c r="E18" s="1374"/>
      <c r="F18" s="1366"/>
      <c r="G18" s="1366"/>
      <c r="H18" s="1366"/>
      <c r="I18" s="1250"/>
      <c r="J18" s="1251"/>
      <c r="K18" s="1258">
        <v>1</v>
      </c>
      <c r="L18" s="1281" t="s">
        <v>119</v>
      </c>
      <c r="M18" s="1259" t="s">
        <v>103</v>
      </c>
      <c r="N18" s="1249" t="str">
        <f>OFFSET(N18,0,-1)</f>
        <v>2</v>
      </c>
      <c r="O18" s="1293">
        <f>OFFSET(O18,0,-1)+1</f>
        <v>3</v>
      </c>
      <c r="P18" s="1293"/>
      <c r="Q18" s="1293">
        <f>OFFSET(Q18,0,-1)+1</f>
        <v>1</v>
      </c>
      <c r="R18" s="1293">
        <f>OFFSET(R18,0,-1)+1</f>
        <v>2</v>
      </c>
      <c r="S18" s="1293">
        <f>OFFSET(S18,0,-1)+1</f>
        <v>3</v>
      </c>
      <c r="T18" s="2276">
        <f>OFFSET(T18,0,-1)+1</f>
        <v>4</v>
      </c>
      <c r="U18" s="2276"/>
      <c r="V18" s="1293">
        <f>OFFSET(V18,0,-2)+1</f>
        <v>5</v>
      </c>
      <c r="W18" s="1249">
        <f>OFFSET(W18,0,-1)</f>
        <v>5</v>
      </c>
      <c r="X18" s="1293">
        <f>OFFSET(X18,0,-1)+1</f>
        <v>6</v>
      </c>
      <c r="Y18" s="515"/>
      <c r="Z18" s="515"/>
      <c r="AA18" s="515"/>
      <c r="AB18" s="515"/>
      <c r="AC18" s="515"/>
      <c r="AD18" s="500">
        <v>11</v>
      </c>
    </row>
    <row customHeight="1" ht="21">
      <c r="A19" s="1367" t="s">
        <v>188</v>
      </c>
      <c r="B19" s="1367" t="s">
        <v>189</v>
      </c>
      <c r="C19" s="1367" t="s">
        <v>190</v>
      </c>
      <c r="D19" s="1367" t="s">
        <v>191</v>
      </c>
      <c r="E19" s="1367"/>
      <c r="F19" s="1369"/>
      <c r="G19" s="1369"/>
      <c r="H19" s="1369"/>
      <c r="I19" s="365"/>
      <c r="J19" s="364"/>
      <c r="K19" s="359"/>
      <c r="L19" s="1297">
        <f>INDEX(PT_DIFFERENTIATION_NUM_NTAR,MATCH(A19,PT_DIFFERENTIATION_NTAR_ID,0))</f>
        <v>0</v>
      </c>
      <c r="M19" s="302" t="s">
        <v>143</v>
      </c>
      <c r="N19" s="304"/>
      <c r="O19" s="2610" t="str">
        <f>INDEX(PT_DIFFERENTIATION_NTAR,MATCH(A19,PT_DIFFERENTIATION_NTAR_ID,0))</f>
        <v/>
      </c>
      <c r="P19" s="2610"/>
      <c r="Q19" s="2610"/>
      <c r="R19" s="2610"/>
      <c r="S19" s="2610"/>
      <c r="T19" s="2610"/>
      <c r="U19" s="2610"/>
      <c r="V19" s="2610"/>
      <c r="W19" s="2610"/>
      <c r="X19" s="1262" t="s">
        <v>414</v>
      </c>
      <c r="Z19" s="504"/>
      <c r="AA19" s="504" t="str">
        <f>IF(M19="","",M19)</f>
        <v>Наименование тарифа</v>
      </c>
      <c r="AB19" s="504"/>
      <c r="AC19" s="504"/>
      <c r="AD19" s="1159">
        <v>20</v>
      </c>
    </row>
    <row customHeight="1" ht="21">
      <c r="A20" s="1367" t="s">
        <v>188</v>
      </c>
      <c r="B20" s="1367" t="s">
        <v>189</v>
      </c>
      <c r="C20" s="1367" t="s">
        <v>190</v>
      </c>
      <c r="D20" s="1367" t="s">
        <v>191</v>
      </c>
      <c r="E20" s="1367"/>
      <c r="F20" s="1369"/>
      <c r="G20" s="1369"/>
      <c r="H20" s="1369"/>
      <c r="I20" s="1294"/>
      <c r="J20" s="356"/>
      <c r="K20" s="357"/>
      <c r="L20" s="1297" t="str">
        <f>INDEX(PT_DIFFERENTIATION_NUM_TER,MATCH(B19,PT_DIFFERENTIATION_TER_ID,0))</f>
        <v>.</v>
      </c>
      <c r="M20" s="312" t="s">
        <v>415</v>
      </c>
      <c r="N20" s="304"/>
      <c r="O20" s="2610" t="str">
        <f>INDEX(PT_DIFFERENTIATION_TER,MATCH(B19,PT_DIFFERENTIATION_TER_ID,0))</f>
        <v/>
      </c>
      <c r="P20" s="2610"/>
      <c r="Q20" s="2610"/>
      <c r="R20" s="2610"/>
      <c r="S20" s="2610"/>
      <c r="T20" s="2610"/>
      <c r="U20" s="2610"/>
      <c r="V20" s="2610"/>
      <c r="W20" s="2610"/>
      <c r="X20" s="1262" t="s">
        <v>416</v>
      </c>
      <c r="Z20" s="504"/>
      <c r="AA20" s="504" t="str">
        <f>IF(M20="","",M20)</f>
        <v>Территория действия тарифа</v>
      </c>
      <c r="AB20" s="504"/>
      <c r="AC20" s="504"/>
      <c r="AD20" s="1159">
        <v>20</v>
      </c>
    </row>
    <row customHeight="1" ht="24">
      <c r="A21" s="1367" t="s">
        <v>188</v>
      </c>
      <c r="B21" s="1367" t="s">
        <v>189</v>
      </c>
      <c r="C21" s="1367" t="s">
        <v>190</v>
      </c>
      <c r="D21" s="1367" t="s">
        <v>191</v>
      </c>
      <c r="E21" s="1367"/>
      <c r="F21" s="1369"/>
      <c r="G21" s="1369"/>
      <c r="H21" s="1369"/>
      <c r="I21" s="358"/>
      <c r="J21" s="356"/>
      <c r="K21" s="357"/>
      <c r="L21" s="1297" t="str">
        <f>INDEX(PT_DIFFERENTIATION_NUM_CS,MATCH(C19,PT_DIFFERENTIATION_CS_ID,0))</f>
        <v>..</v>
      </c>
      <c r="M21" s="313" t="s">
        <v>417</v>
      </c>
      <c r="N21" s="304"/>
      <c r="O21" s="2610" t="str">
        <f>INDEX(PT_DIFFERENTIATION_CS,MATCH(C19,PT_DIFFERENTIATION_CS_ID,0))</f>
        <v/>
      </c>
      <c r="P21" s="2610"/>
      <c r="Q21" s="2610"/>
      <c r="R21" s="2610"/>
      <c r="S21" s="2610"/>
      <c r="T21" s="2610"/>
      <c r="U21" s="2610"/>
      <c r="V21" s="2610"/>
      <c r="W21" s="2610"/>
      <c r="X21" s="1262" t="s">
        <v>418</v>
      </c>
      <c r="Z21" s="504"/>
      <c r="AA21" s="504" t="str">
        <f>IF(M21="","",M21)</f>
        <v>Наименование системы теплоснабжения </v>
      </c>
      <c r="AB21" s="504"/>
      <c r="AC21" s="504"/>
      <c r="AD21" s="1159">
        <v>23</v>
      </c>
    </row>
    <row customHeight="1" ht="21">
      <c r="A22" s="1367" t="s">
        <v>188</v>
      </c>
      <c r="B22" s="1367" t="s">
        <v>189</v>
      </c>
      <c r="C22" s="1367" t="s">
        <v>190</v>
      </c>
      <c r="D22" s="1367" t="s">
        <v>191</v>
      </c>
      <c r="E22" s="1367"/>
      <c r="F22" s="1369"/>
      <c r="G22" s="1369"/>
      <c r="H22" s="1369"/>
      <c r="I22" s="358"/>
      <c r="J22" s="356"/>
      <c r="K22" s="357"/>
      <c r="L22" s="1297" t="str">
        <f>INDEX(PT_DIFFERENTIATION_NUM_IST_TE,MATCH(D19,PT_DIFFERENTIATION_IST_TE_ID,0))</f>
        <v>...</v>
      </c>
      <c r="M22" s="314" t="s">
        <v>419</v>
      </c>
      <c r="N22" s="304"/>
      <c r="O22" s="2610" t="str">
        <f>INDEX(PT_DIFFERENTIATION_IST_TE,MATCH(D19,PT_DIFFERENTIATION_IST_TE_ID,0))</f>
        <v/>
      </c>
      <c r="P22" s="2610"/>
      <c r="Q22" s="2610"/>
      <c r="R22" s="2610"/>
      <c r="S22" s="2610"/>
      <c r="T22" s="2610"/>
      <c r="U22" s="2610"/>
      <c r="V22" s="2610"/>
      <c r="W22" s="2610"/>
      <c r="X22" s="1262" t="s">
        <v>420</v>
      </c>
      <c r="Z22" s="504"/>
      <c r="AA22" s="504" t="str">
        <f>IF(M22="","",M22)</f>
        <v>Источник тепловой энергии  </v>
      </c>
      <c r="AB22" s="504"/>
      <c r="AC22" s="504"/>
      <c r="AD22" s="1159">
        <v>20</v>
      </c>
    </row>
    <row customHeight="1" ht="96.75">
      <c r="A23" s="1367" t="s">
        <v>188</v>
      </c>
      <c r="B23" s="1367" t="s">
        <v>189</v>
      </c>
      <c r="C23" s="1367" t="s">
        <v>190</v>
      </c>
      <c r="D23" s="1367" t="s">
        <v>191</v>
      </c>
      <c r="E23" s="1367"/>
      <c r="F23" s="2611" t="str">
        <f>L22&amp;".1"</f>
        <v>....1</v>
      </c>
      <c r="I23" s="2261">
        <v>1</v>
      </c>
      <c r="J23" s="1295"/>
      <c r="K23" s="360"/>
      <c r="L23" s="1297" t="str">
        <f>$F$23</f>
        <v>....1</v>
      </c>
      <c r="M23" s="289" t="s">
        <v>422</v>
      </c>
      <c r="N23" s="304"/>
      <c r="O23" s="2309"/>
      <c r="P23" s="2309"/>
      <c r="Q23" s="2309"/>
      <c r="R23" s="2309"/>
      <c r="S23" s="2309"/>
      <c r="T23" s="2309"/>
      <c r="U23" s="2309"/>
      <c r="V23" s="2309"/>
      <c r="W23" s="2309"/>
      <c r="X23" s="1262" t="s">
        <v>423</v>
      </c>
      <c r="Z23" s="504"/>
      <c r="AA23" s="504" t="str">
        <f>IF(M23="","",M23)</f>
        <v>Схема подключения теплопотребляющей установки к коллектору источника тепловой энергии</v>
      </c>
      <c r="AB23" s="504"/>
      <c r="AC23" s="504"/>
      <c r="AD23" s="1159">
        <v>92</v>
      </c>
    </row>
    <row customHeight="1" ht="86.25">
      <c r="A24" s="1367" t="s">
        <v>188</v>
      </c>
      <c r="B24" s="1367" t="s">
        <v>189</v>
      </c>
      <c r="C24" s="1367" t="s">
        <v>190</v>
      </c>
      <c r="D24" s="1367" t="s">
        <v>191</v>
      </c>
      <c r="E24" s="1367"/>
      <c r="F24" s="2611"/>
      <c r="G24" s="2221" t="str">
        <f>F23&amp;".1"</f>
        <v>....1.1</v>
      </c>
      <c r="I24" s="2261"/>
      <c r="J24" s="2261">
        <v>1</v>
      </c>
      <c r="K24" s="361"/>
      <c r="L24" s="1297" t="str">
        <f>$G$24</f>
        <v>....1.1</v>
      </c>
      <c r="M24" s="290" t="s">
        <v>425</v>
      </c>
      <c r="N24" s="304"/>
      <c r="O24" s="2249"/>
      <c r="P24" s="2250"/>
      <c r="Q24" s="2250"/>
      <c r="R24" s="2250"/>
      <c r="S24" s="2250"/>
      <c r="T24" s="2250"/>
      <c r="U24" s="2250"/>
      <c r="V24" s="2250"/>
      <c r="W24" s="2251"/>
      <c r="X24" s="1262" t="s">
        <v>426</v>
      </c>
      <c r="Z24" s="504"/>
      <c r="AA24" s="504" t="str">
        <f>IF(M24="","",M24)</f>
        <v>Группа потребителей</v>
      </c>
      <c r="AB24" s="504"/>
      <c r="AC24" s="504"/>
      <c r="AD24" s="1159">
        <v>82</v>
      </c>
    </row>
    <row customHeight="1" ht="11.549999999999999">
      <c r="A25" s="1367" t="s">
        <v>188</v>
      </c>
      <c r="B25" s="1367" t="s">
        <v>189</v>
      </c>
      <c r="C25" s="1367" t="s">
        <v>190</v>
      </c>
      <c r="D25" s="1367" t="s">
        <v>191</v>
      </c>
      <c r="E25" s="1367"/>
      <c r="F25" s="2611"/>
      <c r="G25" s="2221"/>
      <c r="H25" s="2221" t="str">
        <f>G24&amp;".1"</f>
        <v>....1.1.1</v>
      </c>
      <c r="I25" s="2261"/>
      <c r="J25" s="2261"/>
      <c r="K25" s="361">
        <v>1</v>
      </c>
      <c r="L25" s="1297" t="str">
        <f>$H$25</f>
        <v>....1.1.1</v>
      </c>
      <c r="M25" s="1351"/>
      <c r="N25" s="304"/>
      <c r="O25" s="755"/>
      <c r="P25" s="329"/>
      <c r="Q25" s="755"/>
      <c r="R25" s="1261"/>
      <c r="S25" s="2606"/>
      <c r="T25" s="2111" t="s">
        <v>62</v>
      </c>
      <c r="U25" s="2606"/>
      <c r="V25" s="2111" t="s">
        <v>19</v>
      </c>
      <c r="W25" s="329"/>
      <c r="X25" s="2257" t="s">
        <v>428</v>
      </c>
      <c r="Y25" s="515">
        <f>STRCHECKDATE(O26:W26)</f>
      </c>
      <c r="Z25" s="504"/>
      <c r="AA25" s="504" t="str">
        <f>IF(M25="","",M25)</f>
        <v/>
      </c>
      <c r="AB25" s="504"/>
      <c r="AC25" s="504"/>
      <c r="AD25" s="1159">
        <v>11</v>
      </c>
    </row>
    <row customHeight="1" ht="11.549999999999999">
      <c r="A26" s="1367" t="s">
        <v>188</v>
      </c>
      <c r="B26" s="1367" t="s">
        <v>189</v>
      </c>
      <c r="C26" s="1367" t="s">
        <v>190</v>
      </c>
      <c r="D26" s="1367" t="s">
        <v>191</v>
      </c>
      <c r="E26" s="1367"/>
      <c r="F26" s="2611"/>
      <c r="G26" s="2221"/>
      <c r="H26" s="2221"/>
      <c r="I26" s="2261"/>
      <c r="J26" s="2261"/>
      <c r="K26" s="361"/>
      <c r="L26" s="1298"/>
      <c r="M26" s="304"/>
      <c r="N26" s="304"/>
      <c r="O26" s="329"/>
      <c r="P26" s="329"/>
      <c r="Q26" s="329"/>
      <c r="R26" s="332" t="str">
        <f>S25&amp;"-"&amp;U25</f>
        <v>-</v>
      </c>
      <c r="S26" s="2270"/>
      <c r="T26" s="2111"/>
      <c r="U26" s="2270"/>
      <c r="V26" s="2111"/>
      <c r="W26" s="329"/>
      <c r="X26" s="2258"/>
      <c r="Z26" s="504"/>
      <c r="AA26" s="504" t="str">
        <f>IF(M26="","",M26)</f>
        <v/>
      </c>
      <c r="AB26" s="504"/>
      <c r="AC26" s="504"/>
      <c r="AD26" s="1159">
        <v>11</v>
      </c>
    </row>
    <row customHeight="1" ht="15.75">
      <c r="A27" s="1367" t="s">
        <v>188</v>
      </c>
      <c r="B27" s="1367" t="s">
        <v>189</v>
      </c>
      <c r="C27" s="1367" t="s">
        <v>190</v>
      </c>
      <c r="D27" s="1367" t="s">
        <v>191</v>
      </c>
      <c r="E27" s="1367"/>
      <c r="F27" s="2611"/>
      <c r="G27" s="2221"/>
      <c r="I27" s="2261"/>
      <c r="J27" s="2261"/>
      <c r="K27" s="360"/>
      <c r="L27" s="1282"/>
      <c r="M27" s="292" t="s">
        <v>429</v>
      </c>
      <c r="N27" s="371"/>
      <c r="O27" s="371"/>
      <c r="P27" s="371"/>
      <c r="Q27" s="371"/>
      <c r="R27" s="371"/>
      <c r="S27" s="371"/>
      <c r="T27" s="371"/>
      <c r="U27" s="371"/>
      <c r="V27" s="371"/>
      <c r="W27" s="328"/>
      <c r="X27" s="2259"/>
      <c r="Z27" s="504"/>
      <c r="AA27" s="504" t="str">
        <f>IF(M27="","",M27)</f>
        <v>Добавить вид теплоносителя (параметры теплоносителя)</v>
      </c>
      <c r="AB27" s="504"/>
      <c r="AC27" s="504"/>
      <c r="AD27" s="1159">
        <v>15</v>
      </c>
    </row>
    <row customHeight="1" ht="15.75">
      <c r="A28" s="1367" t="s">
        <v>188</v>
      </c>
      <c r="B28" s="1367" t="s">
        <v>189</v>
      </c>
      <c r="C28" s="1367" t="s">
        <v>190</v>
      </c>
      <c r="D28" s="1367" t="s">
        <v>191</v>
      </c>
      <c r="E28" s="1367"/>
      <c r="F28" s="2611"/>
      <c r="I28" s="2261"/>
      <c r="J28" s="1295"/>
      <c r="K28" s="360"/>
      <c r="L28" s="1282"/>
      <c r="M28" s="291" t="s">
        <v>430</v>
      </c>
      <c r="N28" s="371"/>
      <c r="O28" s="371"/>
      <c r="P28" s="371"/>
      <c r="Q28" s="371"/>
      <c r="R28" s="371"/>
      <c r="S28" s="371"/>
      <c r="T28" s="371"/>
      <c r="U28" s="371"/>
      <c r="V28" s="370"/>
      <c r="W28" s="371"/>
      <c r="X28" s="307"/>
      <c r="Z28" s="504"/>
      <c r="AA28" s="504" t="str">
        <f>IF(M28="","",M28)</f>
        <v>Добавить группу потребителей</v>
      </c>
      <c r="AB28" s="504"/>
      <c r="AC28" s="504"/>
      <c r="AD28" s="1159">
        <v>15</v>
      </c>
    </row>
    <row customHeight="1" ht="14.699999999999998">
      <c r="A29" s="1367" t="s">
        <v>188</v>
      </c>
      <c r="B29" s="1367" t="s">
        <v>189</v>
      </c>
      <c r="C29" s="1367" t="s">
        <v>190</v>
      </c>
      <c r="D29" s="1367" t="s">
        <v>191</v>
      </c>
      <c r="E29" s="1367"/>
      <c r="F29" s="1369"/>
      <c r="G29" s="1369"/>
      <c r="H29" s="541"/>
      <c r="I29" s="364"/>
      <c r="J29" s="379"/>
      <c r="K29" s="359"/>
      <c r="L29" s="1282"/>
      <c r="M29" s="369" t="s">
        <v>431</v>
      </c>
      <c r="N29" s="371"/>
      <c r="O29" s="371"/>
      <c r="P29" s="371"/>
      <c r="Q29" s="371"/>
      <c r="R29" s="371"/>
      <c r="S29" s="371"/>
      <c r="T29" s="371"/>
      <c r="U29" s="371"/>
      <c r="V29" s="370"/>
      <c r="W29" s="371"/>
      <c r="X29" s="307"/>
      <c r="Z29" s="504"/>
      <c r="AA29" s="504" t="str">
        <f>IF(M29="","",M29)</f>
        <v>Добавить схему подключения</v>
      </c>
      <c r="AB29" s="504"/>
      <c r="AC29" s="504"/>
      <c r="AD29" s="1159">
        <v>14</v>
      </c>
    </row>
    <row customHeight="1" ht="14.699999999999998">
      <c r="A30" s="1367" t="s">
        <v>188</v>
      </c>
      <c r="B30" s="1367" t="s">
        <v>189</v>
      </c>
      <c r="C30" s="1367" t="s">
        <v>190</v>
      </c>
      <c r="D30" s="1367"/>
      <c r="E30" s="1367" t="s">
        <v>726</v>
      </c>
      <c r="F30" s="1369"/>
      <c r="G30" s="1369"/>
      <c r="H30" s="541"/>
      <c r="I30" s="364"/>
      <c r="J30" s="379"/>
      <c r="K30" s="359"/>
      <c r="L30" s="1283"/>
      <c r="M30" s="1272"/>
      <c r="N30" s="1273"/>
      <c r="O30" s="1273"/>
      <c r="P30" s="1273"/>
      <c r="Q30" s="1273"/>
      <c r="R30" s="1273"/>
      <c r="S30" s="1273"/>
      <c r="T30" s="1273"/>
      <c r="U30" s="1273"/>
      <c r="V30" s="1274"/>
      <c r="W30" s="1273"/>
      <c r="X30" s="1275"/>
      <c r="Z30" s="504"/>
      <c r="AA30" s="504" t="str">
        <f>IF(M30="","",M30)</f>
        <v/>
      </c>
      <c r="AB30" s="504"/>
      <c r="AC30" s="504"/>
      <c r="AD30" s="1159">
        <v>14</v>
      </c>
    </row>
    <row customHeight="1" ht="14.699999999999998">
      <c r="A31" s="1367" t="s">
        <v>188</v>
      </c>
      <c r="B31" s="1367" t="s">
        <v>189</v>
      </c>
      <c r="C31" s="1367"/>
      <c r="D31" s="1367"/>
      <c r="E31" s="1367" t="s">
        <v>2524</v>
      </c>
      <c r="F31" s="1521"/>
      <c r="G31" s="1521"/>
      <c r="H31" s="541"/>
      <c r="I31" s="362"/>
      <c r="J31" s="379"/>
      <c r="K31" s="363"/>
      <c r="L31" s="1283"/>
      <c r="M31" s="1276"/>
      <c r="N31" s="1273"/>
      <c r="O31" s="1273"/>
      <c r="P31" s="1273"/>
      <c r="Q31" s="1273"/>
      <c r="R31" s="1273"/>
      <c r="S31" s="1273"/>
      <c r="T31" s="1273"/>
      <c r="U31" s="1273"/>
      <c r="V31" s="1274"/>
      <c r="W31" s="1273"/>
      <c r="X31" s="1275"/>
      <c r="Z31" s="504"/>
      <c r="AA31" s="504" t="str">
        <f>IF(M31="","",M31)</f>
        <v/>
      </c>
      <c r="AB31" s="504"/>
      <c r="AC31" s="504"/>
      <c r="AD31" s="1159">
        <v>14</v>
      </c>
    </row>
    <row customHeight="1" ht="14.699999999999998">
      <c r="A32" s="1367" t="s">
        <v>2525</v>
      </c>
      <c r="B32" s="1367"/>
      <c r="C32" s="1367"/>
      <c r="D32" s="1367"/>
      <c r="E32" s="1367" t="s">
        <v>114</v>
      </c>
      <c r="F32" s="1521"/>
      <c r="G32" s="1521"/>
      <c r="H32" s="541"/>
      <c r="I32" s="364"/>
      <c r="J32" s="379"/>
      <c r="K32" s="359"/>
      <c r="L32" s="1283"/>
      <c r="M32" s="1277"/>
      <c r="N32" s="1273"/>
      <c r="O32" s="1273"/>
      <c r="P32" s="1273"/>
      <c r="Q32" s="1273"/>
      <c r="R32" s="1273"/>
      <c r="S32" s="1273"/>
      <c r="T32" s="1273"/>
      <c r="U32" s="1273"/>
      <c r="V32" s="1274"/>
      <c r="W32" s="1273"/>
      <c r="X32" s="1275"/>
      <c r="Z32" s="504"/>
      <c r="AA32" s="504" t="str">
        <f>IF(M32="","",M32)</f>
        <v/>
      </c>
      <c r="AB32" s="504"/>
      <c r="AC32" s="504"/>
      <c r="AD32" s="1159">
        <v>14</v>
      </c>
    </row>
    <row s="1854" customFormat="1" customHeight="1" ht="11.549999999999999">
      <c r="A33" s="1367"/>
      <c r="B33" s="1367"/>
      <c r="C33" s="1367"/>
      <c r="D33" s="1367"/>
      <c r="E33" s="1367" t="s">
        <v>466</v>
      </c>
      <c r="F33" s="1522"/>
      <c r="G33" s="1523"/>
      <c r="H33" s="541"/>
      <c r="L33" s="1284"/>
      <c r="M33" s="1278"/>
      <c r="N33" s="1273"/>
      <c r="O33" s="1273"/>
      <c r="P33" s="1273"/>
      <c r="Q33" s="1273"/>
      <c r="R33" s="1273"/>
      <c r="S33" s="1273"/>
      <c r="T33" s="1273"/>
      <c r="U33" s="1273"/>
      <c r="V33" s="1274"/>
      <c r="W33" s="1273"/>
      <c r="X33" s="1275"/>
      <c r="Y33" s="383"/>
      <c r="Z33" s="383"/>
      <c r="AA33" s="383"/>
      <c r="AB33" s="383"/>
      <c r="AC33" s="383"/>
      <c r="AD33" s="377">
        <v>11</v>
      </c>
    </row>
    <row customHeight="1" ht="11.549999999999999">
      <c r="F34" s="1164"/>
      <c r="G34" s="1164"/>
      <c r="H34" s="541"/>
      <c r="I34" s="1159"/>
      <c r="J34" s="1159"/>
      <c r="K34" s="1159"/>
      <c r="Y34" s="1159"/>
      <c r="Z34" s="1159"/>
      <c r="AA34" s="1159"/>
      <c r="AB34" s="1159"/>
      <c r="AC34" s="1159"/>
      <c r="AD34" s="1159">
        <v>11</v>
      </c>
    </row>
    <row customHeight="1" ht="28.5">
      <c r="H35" s="541"/>
      <c r="L35" s="1292" t="s">
        <v>1064</v>
      </c>
      <c r="M35" s="2289" t="s">
        <v>2526</v>
      </c>
      <c r="N35" s="2289"/>
      <c r="O35" s="2289"/>
      <c r="P35" s="2289"/>
      <c r="Q35" s="2289"/>
      <c r="R35" s="2289"/>
      <c r="S35" s="2289"/>
      <c r="T35" s="2289"/>
      <c r="U35" s="2289"/>
      <c r="V35" s="2289"/>
      <c r="W35" s="2289"/>
      <c r="X35" s="2289"/>
      <c r="AD35" s="1159">
        <v>27</v>
      </c>
    </row>
    <row customHeight="1" ht="109.19999999999999">
      <c r="H36" s="541"/>
      <c r="I36" s="1307"/>
      <c r="M36" s="2289" t="s">
        <v>2527</v>
      </c>
      <c r="N36" s="2289"/>
      <c r="O36" s="2289"/>
      <c r="P36" s="2289"/>
      <c r="Q36" s="2289"/>
      <c r="R36" s="2289"/>
      <c r="S36" s="2289"/>
      <c r="T36" s="2289"/>
      <c r="U36" s="2289"/>
      <c r="V36" s="2289"/>
      <c r="W36" s="2289"/>
      <c r="X36" s="2289"/>
      <c r="AD36" s="1159">
        <v>104</v>
      </c>
    </row>
    <row customHeight="1" ht="14.699999999999998">
      <c r="H37" s="541"/>
      <c r="AD37" s="1159">
        <v>14</v>
      </c>
    </row>
    <row customHeight="1" ht="14.699999999999998">
      <c r="H38" s="541"/>
      <c r="AD38" s="1159">
        <v>14</v>
      </c>
    </row>
    <row customHeight="1" ht="14.699999999999998">
      <c r="H39" s="541"/>
      <c r="AD39" s="1159">
        <v>14</v>
      </c>
    </row>
    <row customHeight="1" ht="14.699999999999998">
      <c r="H40" s="541"/>
      <c r="AD40" s="1159">
        <v>14</v>
      </c>
    </row>
    <row customHeight="1" ht="22.5" hidden="1">
      <c r="A41" s="1164" t="s">
        <v>82</v>
      </c>
      <c r="B41" s="1164">
        <v>0</v>
      </c>
      <c r="C41" s="1164">
        <v>0</v>
      </c>
      <c r="D41" s="1164">
        <v>0</v>
      </c>
      <c r="E41" s="1164">
        <v>0</v>
      </c>
      <c r="F41" s="1366">
        <v>0</v>
      </c>
      <c r="G41" s="1366">
        <v>0</v>
      </c>
      <c r="H41" s="1366">
        <v>0</v>
      </c>
      <c r="I41" s="1290">
        <v>3</v>
      </c>
      <c r="J41" s="348">
        <v>3</v>
      </c>
      <c r="K41" s="348">
        <v>3</v>
      </c>
      <c r="L41" s="585">
        <v>12</v>
      </c>
      <c r="M41" s="1159">
        <v>31</v>
      </c>
      <c r="N41" s="1159">
        <v>1</v>
      </c>
      <c r="O41" s="1159">
        <v>24</v>
      </c>
      <c r="P41" s="1159">
        <v>24</v>
      </c>
      <c r="Q41" s="1159">
        <v>24</v>
      </c>
      <c r="R41" s="1159">
        <v>24</v>
      </c>
      <c r="S41" s="1159">
        <v>11</v>
      </c>
      <c r="T41" s="1159">
        <v>3</v>
      </c>
      <c r="U41" s="1159">
        <v>11</v>
      </c>
      <c r="V41" s="1159">
        <v>8</v>
      </c>
      <c r="W41" s="1159">
        <v>4</v>
      </c>
      <c r="X41" s="1159">
        <v>115</v>
      </c>
      <c r="Y41" s="515">
        <v>10</v>
      </c>
      <c r="Z41" s="515">
        <v>10</v>
      </c>
      <c r="AA41" s="515">
        <v>10</v>
      </c>
      <c r="AB41" s="515">
        <v>10</v>
      </c>
      <c r="AC41" s="515">
        <v>10</v>
      </c>
      <c r="AD41" s="115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691727-9E13-46FD-6BFD-B7FD907FFE2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A99D64-2B77-EF61-ACBA-958782EC51B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58A772-9426-C47E-8E6E-EFD4206C1FA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BED016-906F-634E-D088-633E03FE0FA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921F59-C445-95E2-B64B-F0950775DDB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574537-5F8E-2973-A449-843183859342}"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0" width="15.00390625" hidden="1" customWidth="1"/>
    <col min="2"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121.00390625" customWidth="1"/>
    <col min="8" max="8" style="459" width="8.00390625" customWidth="1"/>
    <col min="9" max="9" style="459" width="64.00390625" customWidth="1"/>
    <col min="10" max="10" style="459" width="9.140625" hidden="1"/>
  </cols>
  <sheetData>
    <row customHeight="1" ht="11.25" hidden="1">
      <c r="A1" s="1690" t="s">
        <v>317</v>
      </c>
      <c r="J1" s="459" t="s">
        <v>14</v>
      </c>
    </row>
    <row customHeight="1" ht="11.25" hidden="1">
      <c r="J2" s="459">
        <v>0</v>
      </c>
    </row>
    <row s="481" customFormat="1" customHeight="1" ht="11.549999999999999">
      <c r="A3" s="1690"/>
      <c r="B3" s="505"/>
      <c r="D3" s="482"/>
      <c r="J3" s="481">
        <v>11</v>
      </c>
    </row>
    <row customHeight="1" ht="27.299999999999997">
      <c r="D4" s="216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2"/>
      <c r="F4" s="2163"/>
      <c r="I4" s="719"/>
      <c r="J4" s="459">
        <v>26</v>
      </c>
    </row>
    <row customHeight="1" ht="18">
      <c r="D5" s="2180" t="str">
        <f>IF(org=0,"Не определено",org)</f>
        <v>АО "Теплоэнерго"</v>
      </c>
      <c r="E5" s="2180"/>
      <c r="F5" s="2180"/>
      <c r="I5" s="719"/>
      <c r="J5" s="459">
        <v>17</v>
      </c>
    </row>
    <row s="481" customFormat="1" customHeight="1" ht="11.549999999999999">
      <c r="A6" s="1690"/>
      <c r="B6" s="505"/>
      <c r="D6" s="718"/>
      <c r="E6" s="718"/>
      <c r="F6" s="756"/>
      <c r="G6" s="718"/>
      <c r="J6" s="481">
        <v>11</v>
      </c>
    </row>
    <row customHeight="1" ht="11.25" hidden="1">
      <c r="A7" s="461"/>
      <c r="B7" s="506"/>
      <c r="C7" s="461"/>
      <c r="D7" s="467"/>
      <c r="E7" s="2211"/>
      <c r="F7" s="2211"/>
      <c r="J7" s="459">
        <v>0</v>
      </c>
    </row>
    <row customHeight="1" ht="11.549999999999999">
      <c r="A8" s="461"/>
      <c r="B8" s="506"/>
      <c r="C8" s="461"/>
      <c r="D8" s="2208" t="s">
        <v>318</v>
      </c>
      <c r="E8" s="2209"/>
      <c r="F8" s="2209"/>
      <c r="G8" s="2212" t="s">
        <v>319</v>
      </c>
      <c r="J8" s="459">
        <v>11</v>
      </c>
    </row>
    <row customHeight="1" ht="11.549999999999999">
      <c r="A9" s="461"/>
      <c r="B9" s="506"/>
      <c r="C9" s="461"/>
      <c r="D9" s="476" t="s">
        <v>88</v>
      </c>
      <c r="E9" s="450" t="s">
        <v>320</v>
      </c>
      <c r="F9" s="450" t="s">
        <v>321</v>
      </c>
      <c r="G9" s="2213"/>
      <c r="J9" s="459">
        <v>11</v>
      </c>
    </row>
    <row customHeight="1" ht="12" hidden="1">
      <c r="A10" s="461"/>
      <c r="B10" s="506"/>
      <c r="C10" s="461"/>
      <c r="D10" s="468"/>
      <c r="E10" s="468"/>
      <c r="F10" s="468"/>
      <c r="G10" s="468"/>
      <c r="J10" s="459">
        <v>0</v>
      </c>
    </row>
    <row customHeight="1" ht="22.5" hidden="1">
      <c r="A11" s="461"/>
      <c r="B11" s="506"/>
      <c r="C11" s="461"/>
      <c r="D11" s="1013" t="s">
        <v>119</v>
      </c>
      <c r="E11" s="1016" t="s">
        <v>322</v>
      </c>
      <c r="F11" s="1015" t="str">
        <f>IF(region_name="","",region_name)</f>
        <v>Нижегородская область</v>
      </c>
      <c r="G11" s="1016" t="s">
        <v>323</v>
      </c>
      <c r="H11" s="479"/>
      <c r="J11" s="459">
        <v>0</v>
      </c>
    </row>
    <row customHeight="1" ht="22.5" hidden="1">
      <c r="A12" s="461"/>
      <c r="B12" s="506"/>
      <c r="C12" s="461"/>
      <c r="D12" s="449" t="s">
        <v>119</v>
      </c>
      <c r="E12" s="4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7" t="s">
        <v>324</v>
      </c>
      <c r="G12" s="478"/>
      <c r="H12" s="479"/>
      <c r="J12" s="459">
        <v>0</v>
      </c>
    </row>
    <row customHeight="1" ht="23.25">
      <c r="A13" s="461"/>
      <c r="B13" s="506"/>
      <c r="C13" s="461"/>
      <c r="D13" s="449" t="s">
        <v>119</v>
      </c>
      <c r="E13" s="446" t="str">
        <f>"Наименование юридического лица"&amp;IF(TEMPLATE_SPHERE="TKO"," (индивидуального предпринимателя)","")</f>
        <v>Наименование юридического лица</v>
      </c>
      <c r="F13" s="445"/>
      <c r="G13" s="4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79"/>
      <c r="J13" s="459">
        <v>22</v>
      </c>
    </row>
    <row customHeight="1" ht="22.5" hidden="1">
      <c r="A14" s="461"/>
      <c r="B14" s="506"/>
      <c r="C14" s="461"/>
      <c r="D14" s="1013" t="s">
        <v>325</v>
      </c>
      <c r="E14" s="1014" t="s">
        <v>326</v>
      </c>
      <c r="F14" s="1015" t="str">
        <f>IF(inn="","",inn)</f>
        <v>5257087027</v>
      </c>
      <c r="G14" s="1016" t="s">
        <v>327</v>
      </c>
      <c r="H14" s="479"/>
      <c r="J14" s="459">
        <v>0</v>
      </c>
    </row>
    <row customHeight="1" ht="22.5" hidden="1">
      <c r="A15" s="461"/>
      <c r="B15" s="506"/>
      <c r="C15" s="461"/>
      <c r="D15" s="1013" t="s">
        <v>328</v>
      </c>
      <c r="E15" s="1014" t="s">
        <v>329</v>
      </c>
      <c r="F15" s="1015" t="str">
        <f>IF(kpp="","",kpp)</f>
        <v>525701001</v>
      </c>
      <c r="G15" s="1016" t="s">
        <v>330</v>
      </c>
      <c r="H15" s="479"/>
      <c r="J15" s="459">
        <v>0</v>
      </c>
    </row>
    <row customHeight="1" ht="39">
      <c r="A16" s="461"/>
      <c r="B16" s="506"/>
      <c r="C16" s="461"/>
      <c r="D16" s="449" t="s">
        <v>103</v>
      </c>
      <c r="E16" s="4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5"/>
      <c r="G16" s="4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9"/>
      <c r="J16" s="459">
        <v>37</v>
      </c>
    </row>
    <row customHeight="1" ht="23.25">
      <c r="A17" s="461"/>
      <c r="B17" s="506"/>
      <c r="C17" s="461"/>
      <c r="D17" s="449" t="s">
        <v>90</v>
      </c>
      <c r="E17" s="446" t="str">
        <f>"Дата присвоения ОГРН"&amp;IF(TEMPLATE_SPHERE="TKO",""," (ОГРНИП)")</f>
        <v>Дата присвоения ОГРН (ОГРНИП)</v>
      </c>
      <c r="F17" s="1736" t="s">
        <v>22</v>
      </c>
      <c r="G17" s="448" t="str">
        <f>"Дата присвоения ОГРН"&amp;IF(TEMPLATE_SPHERE="TKO",""," (ОГРНИП)")&amp;" указывается в виде «ДД.ММ.ГГГГ»."</f>
        <v>Дата присвоения ОГРН (ОГРНИП) указывается в виде «ДД.ММ.ГГГГ».</v>
      </c>
      <c r="H17" s="479"/>
      <c r="J17" s="459">
        <v>22</v>
      </c>
    </row>
    <row customHeight="1" ht="71.25">
      <c r="A18" s="461"/>
      <c r="B18" s="506"/>
      <c r="C18" s="461"/>
      <c r="D18" s="449" t="s">
        <v>91</v>
      </c>
      <c r="E18" s="4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5"/>
      <c r="G18" s="478"/>
      <c r="H18" s="479"/>
      <c r="J18" s="459">
        <v>68</v>
      </c>
    </row>
    <row customHeight="1" ht="22.5" hidden="1">
      <c r="A19" s="2206" t="s">
        <v>331</v>
      </c>
      <c r="B19" s="506"/>
      <c r="C19" s="2217"/>
      <c r="D19" s="449" t="str">
        <f>A19</f>
        <v>5.1</v>
      </c>
      <c r="E19" s="446" t="s">
        <v>332</v>
      </c>
      <c r="F19" s="447" t="s">
        <v>324</v>
      </c>
      <c r="G19" s="448" t="s">
        <v>333</v>
      </c>
      <c r="H19" s="479"/>
      <c r="I19" s="856"/>
      <c r="J19" s="459">
        <v>0</v>
      </c>
    </row>
    <row customHeight="1" ht="24" hidden="1">
      <c r="A20" s="2206"/>
      <c r="B20" s="506"/>
      <c r="C20" s="2217"/>
      <c r="D20" s="444" t="str">
        <f>D19&amp;".1"</f>
        <v>5.1.1</v>
      </c>
      <c r="E20" s="443" t="s">
        <v>334</v>
      </c>
      <c r="F20" s="885" t="s">
        <v>22</v>
      </c>
      <c r="G20" s="478"/>
      <c r="H20" s="479"/>
      <c r="I20" s="856"/>
      <c r="J20" s="459">
        <v>0</v>
      </c>
    </row>
    <row customHeight="1" ht="22.5" hidden="1">
      <c r="A21" s="2206"/>
      <c r="B21" s="506"/>
      <c r="C21" s="2217"/>
      <c r="D21" s="444" t="str">
        <f>D19&amp;".2"</f>
        <v>5.1.2</v>
      </c>
      <c r="E21" s="443" t="s">
        <v>335</v>
      </c>
      <c r="F21" s="1737" t="s">
        <v>22</v>
      </c>
      <c r="G21" s="448" t="s">
        <v>336</v>
      </c>
      <c r="H21" s="479"/>
      <c r="I21" s="856"/>
      <c r="J21" s="459">
        <v>0</v>
      </c>
    </row>
    <row customHeight="1" ht="22.5" hidden="1">
      <c r="A22" s="2206"/>
      <c r="B22" s="506"/>
      <c r="C22" s="2217"/>
      <c r="D22" s="444" t="str">
        <f>D19&amp;".3"</f>
        <v>5.1.3</v>
      </c>
      <c r="E22" s="443" t="s">
        <v>337</v>
      </c>
      <c r="F22" s="885" t="s">
        <v>22</v>
      </c>
      <c r="G22" s="478"/>
      <c r="H22" s="479"/>
      <c r="I22" s="856"/>
      <c r="J22" s="459">
        <v>0</v>
      </c>
    </row>
    <row customHeight="1" ht="22.5" hidden="1">
      <c r="A23" s="2206"/>
      <c r="B23" s="506"/>
      <c r="C23" s="2217"/>
      <c r="D23" s="444" t="str">
        <f>D19&amp;".4"</f>
        <v>5.1.4</v>
      </c>
      <c r="E23" s="443" t="s">
        <v>338</v>
      </c>
      <c r="F23" s="885" t="s">
        <v>22</v>
      </c>
      <c r="G23" s="448" t="s">
        <v>339</v>
      </c>
      <c r="H23" s="479"/>
      <c r="I23" s="856"/>
      <c r="J23" s="459">
        <v>0</v>
      </c>
    </row>
    <row customHeight="1" ht="22.5" hidden="1">
      <c r="A24" s="1982"/>
      <c r="B24" s="506"/>
      <c r="C24" s="496"/>
      <c r="D24" s="471"/>
      <c r="E24" s="1172" t="s">
        <v>340</v>
      </c>
      <c r="F24" s="472"/>
      <c r="G24" s="473"/>
      <c r="H24" s="479"/>
      <c r="I24" s="856"/>
      <c r="J24" s="459">
        <v>0</v>
      </c>
    </row>
    <row s="505" customFormat="1" customHeight="1" ht="24.75" hidden="1">
      <c r="A25" s="461"/>
      <c r="B25" s="506"/>
      <c r="C25" s="506"/>
      <c r="D25" s="1010" t="s">
        <v>90</v>
      </c>
      <c r="E25" s="1012" t="s">
        <v>341</v>
      </c>
      <c r="F25" s="1017" t="s">
        <v>324</v>
      </c>
      <c r="G25" s="1012"/>
      <c r="J25" s="505">
        <v>0</v>
      </c>
    </row>
    <row s="505" customFormat="1" customHeight="1" ht="11.25" hidden="1">
      <c r="A26" s="461"/>
      <c r="B26" s="506"/>
      <c r="C26" s="506"/>
      <c r="D26" s="1010" t="s">
        <v>342</v>
      </c>
      <c r="E26" s="1011" t="s">
        <v>343</v>
      </c>
      <c r="F26" s="1017" t="s">
        <v>324</v>
      </c>
      <c r="G26" s="1012"/>
      <c r="J26" s="505">
        <v>0</v>
      </c>
    </row>
    <row s="505" customFormat="1" customHeight="1" ht="11.25" hidden="1">
      <c r="A27" s="461"/>
      <c r="B27" s="506"/>
      <c r="C27" s="506"/>
      <c r="D27" s="1010" t="s">
        <v>344</v>
      </c>
      <c r="E27" s="1018" t="s">
        <v>345</v>
      </c>
      <c r="F27" s="1019"/>
      <c r="G27" s="10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5">
        <v>0</v>
      </c>
    </row>
    <row s="505" customFormat="1" customHeight="1" ht="11.25" hidden="1">
      <c r="A28" s="461"/>
      <c r="B28" s="506"/>
      <c r="C28" s="506"/>
      <c r="D28" s="1010" t="s">
        <v>346</v>
      </c>
      <c r="E28" s="1018" t="s">
        <v>347</v>
      </c>
      <c r="F28" s="1019"/>
      <c r="G28" s="10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5">
        <v>0</v>
      </c>
    </row>
    <row s="505" customFormat="1" customHeight="1" ht="11.25" hidden="1">
      <c r="A29" s="461"/>
      <c r="B29" s="506"/>
      <c r="C29" s="506"/>
      <c r="D29" s="1010" t="s">
        <v>348</v>
      </c>
      <c r="E29" s="1018" t="s">
        <v>349</v>
      </c>
      <c r="F29" s="1019"/>
      <c r="G29" s="10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5">
        <v>0</v>
      </c>
    </row>
    <row s="505" customFormat="1" customHeight="1" ht="11.25" hidden="1">
      <c r="A30" s="461"/>
      <c r="B30" s="506"/>
      <c r="C30" s="506"/>
      <c r="D30" s="1010" t="s">
        <v>350</v>
      </c>
      <c r="E30" s="1011" t="s">
        <v>351</v>
      </c>
      <c r="F30" s="1019"/>
      <c r="G30" s="1012"/>
      <c r="J30" s="505">
        <v>0</v>
      </c>
    </row>
    <row s="505" customFormat="1" customHeight="1" ht="11.25" hidden="1">
      <c r="A31" s="461"/>
      <c r="B31" s="506"/>
      <c r="C31" s="506"/>
      <c r="D31" s="1010" t="s">
        <v>352</v>
      </c>
      <c r="E31" s="1011" t="s">
        <v>353</v>
      </c>
      <c r="F31" s="1019"/>
      <c r="G31" s="1012"/>
      <c r="J31" s="505">
        <v>0</v>
      </c>
    </row>
    <row s="505" customFormat="1" customHeight="1" ht="11.25" hidden="1">
      <c r="A32" s="461"/>
      <c r="B32" s="506"/>
      <c r="C32" s="506"/>
      <c r="D32" s="1010" t="s">
        <v>354</v>
      </c>
      <c r="E32" s="1011" t="s">
        <v>355</v>
      </c>
      <c r="F32" s="1020"/>
      <c r="G32" s="1012"/>
      <c r="J32" s="505">
        <v>0</v>
      </c>
    </row>
    <row customHeight="1" ht="24">
      <c r="A33" s="461" t="str">
        <f>IF(TEMPLATE_SPHERE="HEAT","6","5")</f>
        <v>6</v>
      </c>
      <c r="B33" s="506"/>
      <c r="C33" s="461"/>
      <c r="D33" s="444" t="str">
        <f>A33</f>
        <v>6</v>
      </c>
      <c r="E33" s="4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7" t="s">
        <v>324</v>
      </c>
      <c r="G33" s="478"/>
      <c r="H33" s="479"/>
      <c r="J33" s="459">
        <v>23</v>
      </c>
    </row>
    <row customHeight="1" ht="23.25">
      <c r="A34" s="461"/>
      <c r="B34" s="506"/>
      <c r="C34" s="461"/>
      <c r="D34" s="444" t="str">
        <f>D33&amp;".1"</f>
        <v>6.1</v>
      </c>
      <c r="E34" s="446" t="str">
        <f>"фамилия"&amp;IF(TEMPLATE_SPHERE&lt;&gt;"HEAT"," руководителя","")</f>
        <v>фамилия</v>
      </c>
      <c r="F34" s="445"/>
      <c r="G34" s="4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79"/>
      <c r="J34" s="459">
        <v>22</v>
      </c>
    </row>
    <row customHeight="1" ht="23.25">
      <c r="A35" s="461"/>
      <c r="B35" s="506"/>
      <c r="C35" s="461"/>
      <c r="D35" s="444" t="str">
        <f>D33&amp;".2"</f>
        <v>6.2</v>
      </c>
      <c r="E35" s="446" t="str">
        <f>"имя"&amp;IF(TEMPLATE_SPHERE&lt;&gt;"HEAT"," руководителя","")</f>
        <v>имя</v>
      </c>
      <c r="F35" s="445"/>
      <c r="G35" s="4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79"/>
      <c r="J35" s="459">
        <v>22</v>
      </c>
    </row>
    <row customHeight="1" ht="24">
      <c r="A36" s="461"/>
      <c r="B36" s="506"/>
      <c r="C36" s="461"/>
      <c r="D36" s="444" t="str">
        <f>D33&amp;".3"</f>
        <v>6.3</v>
      </c>
      <c r="E36" s="446" t="str">
        <f>"отчество"&amp;IF(TEMPLATE_SPHERE&lt;&gt;"HEAT"," руководителя","")</f>
        <v>отчество</v>
      </c>
      <c r="F36" s="702"/>
      <c r="G36" s="4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79"/>
      <c r="J36" s="459">
        <v>23</v>
      </c>
    </row>
    <row customHeight="1" ht="35.699999999999996">
      <c r="A37" s="461"/>
      <c r="B37" s="506"/>
      <c r="C37" s="461"/>
      <c r="D37" s="444">
        <f>D33+1</f>
        <v>7</v>
      </c>
      <c r="E37" s="4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5"/>
      <c r="G37" s="448" t="s">
        <v>356</v>
      </c>
      <c r="H37" s="479"/>
      <c r="J37" s="459">
        <v>34</v>
      </c>
    </row>
    <row customHeight="1" ht="35.699999999999996">
      <c r="A38" s="461"/>
      <c r="B38" s="506"/>
      <c r="C38" s="461"/>
      <c r="D38" s="444">
        <f>D37+1</f>
        <v>8</v>
      </c>
      <c r="E38" s="4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5"/>
      <c r="G38" s="448" t="s">
        <v>356</v>
      </c>
      <c r="H38" s="479"/>
      <c r="J38" s="459">
        <v>34</v>
      </c>
    </row>
    <row customHeight="1" ht="23.25">
      <c r="A39" s="461"/>
      <c r="B39" s="506"/>
      <c r="C39" s="461"/>
      <c r="D39" s="444">
        <f>D38+1</f>
        <v>9</v>
      </c>
      <c r="E39" s="4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7" t="s">
        <v>324</v>
      </c>
      <c r="G39"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9"/>
      <c r="J39" s="459">
        <v>22</v>
      </c>
    </row>
    <row customHeight="1" ht="22.5" hidden="1">
      <c r="A40" s="461"/>
      <c r="B40" s="506"/>
      <c r="C40" s="461"/>
      <c r="D40" s="444" t="str">
        <f>D39&amp;".0"</f>
        <v>9.0</v>
      </c>
      <c r="E40" s="1609"/>
      <c r="F40" s="885"/>
      <c r="G40" s="2215"/>
      <c r="H40" s="479"/>
      <c r="J40" s="459">
        <v>0</v>
      </c>
    </row>
    <row customHeight="1" ht="23.25">
      <c r="A41" s="461"/>
      <c r="B41" s="461"/>
      <c r="C41" s="1692"/>
      <c r="D41" s="444" t="str">
        <f>D39&amp;".1"</f>
        <v>9.1</v>
      </c>
      <c r="E41" s="864"/>
      <c r="F41" s="865"/>
      <c r="G41" s="2215"/>
      <c r="H41" s="479"/>
      <c r="J41" s="459">
        <v>22</v>
      </c>
    </row>
    <row customHeight="1" ht="15.75">
      <c r="A42" s="461"/>
      <c r="B42" s="506"/>
      <c r="C42" s="461"/>
      <c r="D42" s="471"/>
      <c r="E42" s="419" t="s">
        <v>357</v>
      </c>
      <c r="F42" s="473"/>
      <c r="G42" s="2216"/>
      <c r="H42" s="480"/>
      <c r="J42" s="459">
        <v>15</v>
      </c>
    </row>
    <row customHeight="1" ht="27.299999999999997">
      <c r="A43" s="461"/>
      <c r="B43" s="506"/>
      <c r="C43" s="461"/>
      <c r="D43" s="444">
        <f>D39+1</f>
        <v>10</v>
      </c>
      <c r="E43" s="4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6"/>
      <c r="G43" s="4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9"/>
      <c r="J43" s="459">
        <v>26</v>
      </c>
    </row>
    <row customHeight="1" ht="23.25">
      <c r="A44" s="461"/>
      <c r="B44" s="506"/>
      <c r="C44" s="461"/>
      <c r="D44" s="444">
        <f>D43+1</f>
        <v>11</v>
      </c>
      <c r="E44" s="4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2"/>
      <c r="G44" s="478" t="s">
        <v>358</v>
      </c>
      <c r="H44" s="479"/>
      <c r="J44" s="459">
        <v>22</v>
      </c>
    </row>
    <row customHeight="1" ht="23.25">
      <c r="A45" s="461"/>
      <c r="B45" s="506"/>
      <c r="C45" s="461"/>
      <c r="D45" s="444">
        <f>D44+1</f>
        <v>12</v>
      </c>
      <c r="E45" s="442" t="s">
        <v>359</v>
      </c>
      <c r="F45" s="447" t="s">
        <v>324</v>
      </c>
      <c r="G45" s="441" t="str">
        <f>IF(TEMPLATE_SPHERE="TKO","Указывается режим работы организации.","")</f>
        <v/>
      </c>
      <c r="H45" s="479"/>
      <c r="J45" s="459">
        <v>22</v>
      </c>
    </row>
    <row customHeight="1" ht="24">
      <c r="A46" s="461"/>
      <c r="B46" s="506"/>
      <c r="C46" s="461"/>
      <c r="D46" s="444" t="str">
        <f>D45&amp;".1"</f>
        <v>12.1</v>
      </c>
      <c r="E46" s="446" t="str">
        <f>"режим работы регулируемой организации"&amp;IF(TEMPLATE_SPHERE="HEAT",", ЕТО, ТО","")</f>
        <v>режим работы регулируемой организации, ЕТО, ТО</v>
      </c>
      <c r="F46" s="1688"/>
      <c r="G46" s="441" t="s">
        <v>360</v>
      </c>
      <c r="H46" s="479"/>
      <c r="J46" s="459">
        <v>23</v>
      </c>
    </row>
    <row customHeight="1" ht="24">
      <c r="A47" s="2206"/>
      <c r="B47" s="506"/>
      <c r="C47" s="496"/>
      <c r="D47" s="444" t="str">
        <f>D45&amp;".2"</f>
        <v>12.2</v>
      </c>
      <c r="E47" s="446" t="s">
        <v>361</v>
      </c>
      <c r="F47" s="494"/>
      <c r="G47" s="441" t="s">
        <v>362</v>
      </c>
      <c r="H47" s="479"/>
      <c r="J47" s="459">
        <v>23</v>
      </c>
    </row>
    <row customHeight="1" ht="24">
      <c r="A48" s="2206"/>
      <c r="B48" s="506"/>
      <c r="C48" s="496"/>
      <c r="D48" s="444" t="str">
        <f>D45&amp;".3"</f>
        <v>12.3</v>
      </c>
      <c r="E48" s="446" t="s">
        <v>363</v>
      </c>
      <c r="F48" s="494"/>
      <c r="G48" s="441" t="s">
        <v>364</v>
      </c>
      <c r="H48" s="479"/>
      <c r="J48" s="459">
        <v>23</v>
      </c>
    </row>
    <row customHeight="1" ht="24">
      <c r="A49" s="2206"/>
      <c r="B49" s="506"/>
      <c r="C49" s="496"/>
      <c r="D49" s="444" t="str">
        <f>IF(TEMPLATE_SPHERE="TKO",D45&amp;".0",D45&amp;".4")</f>
        <v>12.4</v>
      </c>
      <c r="E49" s="440" t="s">
        <v>365</v>
      </c>
      <c r="F49" s="1689"/>
      <c r="G49" s="1766" t="s">
        <v>366</v>
      </c>
      <c r="H49" s="479"/>
      <c r="J49" s="459">
        <v>23</v>
      </c>
    </row>
    <row customHeight="1" ht="24">
      <c r="A50" s="461"/>
      <c r="B50" s="506"/>
      <c r="C50" s="461"/>
      <c r="D50" s="471"/>
      <c r="E50" s="419" t="s">
        <v>367</v>
      </c>
      <c r="F50" s="472"/>
      <c r="G50" s="1766" t="s">
        <v>368</v>
      </c>
      <c r="H50" s="480"/>
      <c r="J50" s="459">
        <v>23</v>
      </c>
    </row>
    <row customHeight="1" ht="24">
      <c r="A51" s="862"/>
      <c r="B51" s="506"/>
      <c r="C51" s="496"/>
      <c r="D51" s="444">
        <f>D45+1</f>
        <v>13</v>
      </c>
      <c r="E51" s="532" t="s">
        <v>369</v>
      </c>
      <c r="F51" s="494"/>
      <c r="G51" s="169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79"/>
      <c r="J51" s="459">
        <v>23</v>
      </c>
    </row>
    <row customHeight="1" ht="11.549999999999999">
      <c r="A52" s="461"/>
      <c r="B52" s="506"/>
      <c r="C52" s="461"/>
      <c r="J52" s="459">
        <v>11</v>
      </c>
    </row>
    <row s="464" customFormat="1" customHeight="1" ht="31.5">
      <c r="A53" s="1691"/>
      <c r="B53" s="507"/>
      <c r="C53" s="2207"/>
      <c r="D53" s="22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0"/>
      <c r="F53" s="2210"/>
      <c r="G53" s="2210"/>
      <c r="H53" s="458"/>
      <c r="I53" s="458"/>
      <c r="J53" s="464">
        <v>30</v>
      </c>
    </row>
    <row s="464" customFormat="1" customHeight="1" ht="42">
      <c r="A54" s="461"/>
      <c r="B54" s="506"/>
      <c r="C54" s="2207"/>
      <c r="D54" s="221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0"/>
      <c r="F54" s="2210"/>
      <c r="G54" s="2210"/>
      <c r="J54" s="464">
        <v>40</v>
      </c>
    </row>
    <row customHeight="1" ht="11.549999999999999">
      <c r="D55" s="462"/>
      <c r="E55" s="463"/>
      <c r="F55" s="463"/>
      <c r="G55" s="463"/>
      <c r="J55" s="459">
        <v>11</v>
      </c>
    </row>
    <row customHeight="1" ht="28.5">
      <c r="D56" s="465"/>
      <c r="E56" s="462"/>
      <c r="F56" s="474"/>
      <c r="G56" s="474"/>
      <c r="J56" s="459">
        <v>27</v>
      </c>
    </row>
    <row customHeight="1" ht="11.549999999999999">
      <c r="D57" s="462"/>
      <c r="E57" s="462"/>
      <c r="F57" s="463"/>
      <c r="G57" s="463"/>
      <c r="J57" s="459">
        <v>11</v>
      </c>
    </row>
    <row customHeight="1" ht="40.949999999999996">
      <c r="D58" s="466"/>
      <c r="E58" s="475"/>
      <c r="F58" s="475"/>
      <c r="G58" s="475"/>
      <c r="J58" s="459">
        <v>39</v>
      </c>
    </row>
    <row customHeight="1" ht="28.5">
      <c r="D59" s="466"/>
      <c r="E59" s="475"/>
      <c r="F59" s="475"/>
      <c r="G59" s="475"/>
      <c r="J59" s="459">
        <v>27</v>
      </c>
    </row>
    <row customHeight="1" ht="11.25" hidden="1">
      <c r="A60" s="1690" t="s">
        <v>82</v>
      </c>
      <c r="B60" s="505">
        <v>0</v>
      </c>
      <c r="C60" s="459">
        <v>3</v>
      </c>
      <c r="D60" s="460">
        <v>6</v>
      </c>
      <c r="E60" s="459">
        <v>52</v>
      </c>
      <c r="F60" s="459">
        <v>48</v>
      </c>
      <c r="G60" s="459">
        <v>121</v>
      </c>
      <c r="H60" s="459">
        <v>8</v>
      </c>
      <c r="I60" s="459">
        <v>64</v>
      </c>
      <c r="J60" s="45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95448D-229E-80D6-A9A4-E380A2C75D9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0FE3B2-56D6-BA4E-97AD-3BD8F7AF407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5ED8F2-0B84-BE91-98D9-E39BABFD6964}"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6EEFE4-507B-A221-F34F-C51F333D2EB1}" mc:Ignorable="x14ac xr xr2 xr3">
  <dimension ref="A1:E8"/>
  <sheetViews>
    <sheetView topLeftCell="A1" showGridLines="0" workbookViewId="0">
      <selection activeCell="A1" sqref="A1"/>
    </sheetView>
  </sheetViews>
  <sheetFormatPr customHeight="1" defaultRowHeight="11.25"/>
  <cols>
    <col min="1" max="1" style="68" width="10.57421875" customWidth="1"/>
    <col min="2" max="2" style="68" width="8.7109375" customWidth="1"/>
    <col min="3" max="3" style="68" width="18.140625" customWidth="1"/>
    <col min="4" max="4" style="68" width="12.57421875" customWidth="1"/>
  </cols>
  <sheetData>
    <row customHeight="1" ht="11.25">
      <c r="A1" s="2619" t="s">
        <v>2528</v>
      </c>
      <c r="B1" s="2620" t="s">
        <v>2529</v>
      </c>
      <c r="C1" s="2621" t="s">
        <v>2530</v>
      </c>
      <c r="D1" s="2622"/>
      <c r="E1" s="840" t="s">
        <v>2531</v>
      </c>
    </row>
    <row customHeight="1" ht="11.25">
      <c r="A2" s="2623"/>
      <c r="B2" s="769" t="s">
        <v>27</v>
      </c>
      <c r="C2" s="757"/>
      <c r="D2" s="768"/>
      <c r="E2" s="840"/>
    </row>
    <row customHeight="1" ht="11.25">
      <c r="A3" s="2624"/>
      <c r="B3" s="2625" t="s">
        <v>33</v>
      </c>
      <c r="C3" s="757"/>
      <c r="D3" s="768"/>
      <c r="E3" s="840"/>
    </row>
    <row customHeight="1" ht="11.25">
      <c r="A4" s="2626"/>
      <c r="B4" s="770" t="s">
        <v>1965</v>
      </c>
      <c r="C4" s="757"/>
      <c r="D4" s="768"/>
      <c r="E4" s="840"/>
    </row>
    <row customHeight="1" ht="11.25">
      <c r="A5" s="2627"/>
      <c r="B5" s="770" t="s">
        <v>1960</v>
      </c>
      <c r="C5" s="2628" t="s">
        <v>2295</v>
      </c>
      <c r="D5" s="2629" t="s">
        <v>2532</v>
      </c>
      <c r="E5" s="840"/>
    </row>
    <row s="1854" customFormat="1" customHeight="1" ht="11.25">
      <c r="A6" s="2630"/>
      <c r="B6" s="770" t="s">
        <v>1969</v>
      </c>
      <c r="C6" s="757"/>
      <c r="D6" s="768"/>
      <c r="E6" s="840"/>
    </row>
    <row customHeight="1" ht="11.25">
      <c r="A7" s="2631"/>
      <c r="B7" s="770" t="s">
        <v>1976</v>
      </c>
      <c r="C7" s="757"/>
      <c r="D7" s="768"/>
      <c r="E7" s="840"/>
    </row>
    <row customHeight="1" ht="11.25">
      <c r="A8" s="760"/>
      <c r="B8" s="770" t="s">
        <v>1971</v>
      </c>
      <c r="C8" s="757"/>
      <c r="D8" s="768"/>
      <c r="E8" s="84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B7453B-2C5D-FEBF-A801-6B89620B22B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973977-4B24-E64E-06BA-33E0AF0D1BE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EBE083-926E-206A-D4C6-13B53050DEE4}" mc:Ignorable="x14ac xr xr2 xr3">
  <sheetPr>
    <tabColor rgb="FFFFCC99"/>
  </sheetPr>
  <dimension ref="A1:I1135"/>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2" t="s">
        <v>2533</v>
      </c>
      <c r="B1" s="72" t="s">
        <v>2534</v>
      </c>
      <c r="C1" s="72" t="s">
        <v>2535</v>
      </c>
      <c r="D1" s="72" t="s">
        <v>2536</v>
      </c>
      <c r="E1" s="72" t="s">
        <v>2537</v>
      </c>
      <c r="F1" s="72" t="s">
        <v>2538</v>
      </c>
      <c r="G1" s="72" t="s">
        <v>2539</v>
      </c>
      <c r="H1" s="72" t="s">
        <v>2540</v>
      </c>
      <c r="I1" s="72" t="s">
        <v>2541</v>
      </c>
    </row>
    <row customHeight="1" ht="11.25">
      <c r="A2" s="1854" t="s">
        <v>2542</v>
      </c>
      <c r="B2" s="1854" t="s">
        <v>16</v>
      </c>
      <c r="C2" s="1854" t="s">
        <v>2543</v>
      </c>
      <c r="D2" s="1854" t="s">
        <v>2544</v>
      </c>
      <c r="E2" s="1854" t="s">
        <v>2545</v>
      </c>
      <c r="F2" s="1854" t="s">
        <v>2546</v>
      </c>
      <c r="G2" s="1854" t="s">
        <v>22</v>
      </c>
      <c r="H2" s="1854" t="s">
        <v>22</v>
      </c>
      <c r="I2" s="1854" t="s">
        <v>1068</v>
      </c>
    </row>
    <row customHeight="1" ht="11.25">
      <c r="A3" s="1854" t="s">
        <v>2542</v>
      </c>
      <c r="B3" s="1854" t="s">
        <v>16</v>
      </c>
      <c r="C3" s="1854" t="s">
        <v>2547</v>
      </c>
      <c r="D3" s="1854" t="s">
        <v>2548</v>
      </c>
      <c r="E3" s="1854" t="s">
        <v>2549</v>
      </c>
      <c r="F3" s="1854" t="s">
        <v>2550</v>
      </c>
      <c r="G3" s="1854" t="s">
        <v>2551</v>
      </c>
      <c r="H3" s="1854" t="s">
        <v>22</v>
      </c>
      <c r="I3" s="1854" t="s">
        <v>1068</v>
      </c>
    </row>
    <row customHeight="1" ht="11.25">
      <c r="A4" s="1854" t="s">
        <v>2542</v>
      </c>
      <c r="B4" s="1854" t="s">
        <v>16</v>
      </c>
      <c r="C4" s="1854" t="s">
        <v>2552</v>
      </c>
      <c r="D4" s="1854" t="s">
        <v>2553</v>
      </c>
      <c r="E4" s="1854" t="s">
        <v>2554</v>
      </c>
      <c r="F4" s="1854" t="s">
        <v>50</v>
      </c>
      <c r="G4" s="1854" t="s">
        <v>22</v>
      </c>
      <c r="H4" s="1854" t="s">
        <v>22</v>
      </c>
      <c r="I4" s="1854" t="s">
        <v>1068</v>
      </c>
    </row>
    <row customHeight="1" ht="11.25">
      <c r="A5" s="1854" t="s">
        <v>2542</v>
      </c>
      <c r="B5" s="1854" t="s">
        <v>16</v>
      </c>
      <c r="C5" s="1854" t="s">
        <v>2555</v>
      </c>
      <c r="D5" s="1854" t="s">
        <v>2556</v>
      </c>
      <c r="E5" s="1854" t="s">
        <v>2557</v>
      </c>
      <c r="F5" s="1854" t="s">
        <v>2558</v>
      </c>
      <c r="G5" s="1854" t="s">
        <v>2559</v>
      </c>
      <c r="H5" s="1854" t="s">
        <v>22</v>
      </c>
      <c r="I5" s="1854" t="s">
        <v>1068</v>
      </c>
    </row>
    <row customHeight="1" ht="11.25">
      <c r="A6" s="1854" t="s">
        <v>2542</v>
      </c>
      <c r="B6" s="1854" t="s">
        <v>16</v>
      </c>
      <c r="C6" s="1854" t="s">
        <v>2560</v>
      </c>
      <c r="D6" s="1854" t="s">
        <v>2561</v>
      </c>
      <c r="E6" s="1854" t="s">
        <v>2562</v>
      </c>
      <c r="F6" s="1854" t="s">
        <v>2563</v>
      </c>
      <c r="G6" s="1854" t="s">
        <v>22</v>
      </c>
      <c r="H6" s="1854" t="s">
        <v>22</v>
      </c>
      <c r="I6" s="1854" t="s">
        <v>1068</v>
      </c>
    </row>
    <row customHeight="1" ht="11.25">
      <c r="A7" s="1854" t="s">
        <v>2542</v>
      </c>
      <c r="B7" s="1854" t="s">
        <v>16</v>
      </c>
      <c r="C7" s="1854" t="s">
        <v>2564</v>
      </c>
      <c r="D7" s="1854" t="s">
        <v>2565</v>
      </c>
      <c r="E7" s="1854" t="s">
        <v>2566</v>
      </c>
      <c r="F7" s="1854" t="s">
        <v>50</v>
      </c>
      <c r="G7" s="1854" t="s">
        <v>22</v>
      </c>
      <c r="H7" s="1854" t="s">
        <v>22</v>
      </c>
      <c r="I7" s="1854" t="s">
        <v>1068</v>
      </c>
    </row>
    <row customHeight="1" ht="11.25">
      <c r="A8" s="1854" t="s">
        <v>2542</v>
      </c>
      <c r="B8" s="1854" t="s">
        <v>16</v>
      </c>
      <c r="C8" s="1854" t="s">
        <v>2567</v>
      </c>
      <c r="D8" s="1854" t="s">
        <v>2568</v>
      </c>
      <c r="E8" s="1854" t="s">
        <v>2569</v>
      </c>
      <c r="F8" s="1854" t="s">
        <v>2563</v>
      </c>
      <c r="G8" s="1854" t="s">
        <v>22</v>
      </c>
      <c r="H8" s="1854" t="s">
        <v>22</v>
      </c>
      <c r="I8" s="1854" t="s">
        <v>1068</v>
      </c>
    </row>
    <row customHeight="1" ht="11.25">
      <c r="A9" s="1854" t="s">
        <v>2542</v>
      </c>
      <c r="B9" s="1854" t="s">
        <v>16</v>
      </c>
      <c r="C9" s="1854" t="s">
        <v>2570</v>
      </c>
      <c r="D9" s="1854" t="s">
        <v>2571</v>
      </c>
      <c r="E9" s="1854" t="s">
        <v>2572</v>
      </c>
      <c r="F9" s="1854" t="s">
        <v>2573</v>
      </c>
      <c r="G9" s="1854" t="s">
        <v>22</v>
      </c>
      <c r="H9" s="1854" t="s">
        <v>22</v>
      </c>
      <c r="I9" s="1854" t="s">
        <v>1068</v>
      </c>
    </row>
    <row customHeight="1" ht="11.25">
      <c r="A10" s="1854" t="s">
        <v>2542</v>
      </c>
      <c r="B10" s="1854" t="s">
        <v>16</v>
      </c>
      <c r="C10" s="1854" t="s">
        <v>2574</v>
      </c>
      <c r="D10" s="1854" t="s">
        <v>2575</v>
      </c>
      <c r="E10" s="1854" t="s">
        <v>2576</v>
      </c>
      <c r="F10" s="1854" t="s">
        <v>2577</v>
      </c>
      <c r="G10" s="1854" t="s">
        <v>22</v>
      </c>
      <c r="H10" s="1854" t="s">
        <v>22</v>
      </c>
      <c r="I10" s="1854" t="s">
        <v>1068</v>
      </c>
    </row>
    <row customHeight="1" ht="11.25">
      <c r="A11" s="1854" t="s">
        <v>2542</v>
      </c>
      <c r="B11" s="1854" t="s">
        <v>16</v>
      </c>
      <c r="C11" s="1854" t="s">
        <v>2578</v>
      </c>
      <c r="D11" s="1854" t="s">
        <v>2579</v>
      </c>
      <c r="E11" s="1854" t="s">
        <v>2580</v>
      </c>
      <c r="F11" s="1854" t="s">
        <v>2550</v>
      </c>
      <c r="G11" s="1854" t="s">
        <v>22</v>
      </c>
      <c r="H11" s="1854" t="s">
        <v>22</v>
      </c>
      <c r="I11" s="1854" t="s">
        <v>1068</v>
      </c>
    </row>
    <row customHeight="1" ht="11.25">
      <c r="A12" s="1854" t="s">
        <v>2542</v>
      </c>
      <c r="B12" s="1854" t="s">
        <v>16</v>
      </c>
      <c r="C12" s="1854" t="s">
        <v>2581</v>
      </c>
      <c r="D12" s="1854" t="s">
        <v>2582</v>
      </c>
      <c r="E12" s="1854" t="s">
        <v>2583</v>
      </c>
      <c r="F12" s="1854" t="s">
        <v>2584</v>
      </c>
      <c r="G12" s="1854" t="s">
        <v>22</v>
      </c>
      <c r="H12" s="1854" t="s">
        <v>22</v>
      </c>
      <c r="I12" s="1854" t="s">
        <v>1068</v>
      </c>
    </row>
    <row customHeight="1" ht="11.25">
      <c r="A13" s="1854" t="s">
        <v>2542</v>
      </c>
      <c r="B13" s="1854" t="s">
        <v>16</v>
      </c>
      <c r="C13" s="1854" t="s">
        <v>2585</v>
      </c>
      <c r="D13" s="1854" t="s">
        <v>2586</v>
      </c>
      <c r="E13" s="1854" t="s">
        <v>2587</v>
      </c>
      <c r="F13" s="1854" t="s">
        <v>2577</v>
      </c>
      <c r="G13" s="1854" t="s">
        <v>22</v>
      </c>
      <c r="H13" s="1854" t="s">
        <v>22</v>
      </c>
      <c r="I13" s="1854" t="s">
        <v>1068</v>
      </c>
    </row>
    <row customHeight="1" ht="11.25">
      <c r="A14" s="1854" t="s">
        <v>2542</v>
      </c>
      <c r="B14" s="1854" t="s">
        <v>16</v>
      </c>
      <c r="C14" s="1854" t="s">
        <v>2588</v>
      </c>
      <c r="D14" s="1854" t="s">
        <v>2589</v>
      </c>
      <c r="E14" s="1854" t="s">
        <v>2590</v>
      </c>
      <c r="F14" s="1854" t="s">
        <v>2591</v>
      </c>
      <c r="G14" s="1854" t="s">
        <v>22</v>
      </c>
      <c r="H14" s="1854" t="s">
        <v>22</v>
      </c>
      <c r="I14" s="1854" t="s">
        <v>1068</v>
      </c>
    </row>
    <row customHeight="1" ht="11.25">
      <c r="A15" s="1854" t="s">
        <v>2542</v>
      </c>
      <c r="B15" s="1854" t="s">
        <v>16</v>
      </c>
      <c r="C15" s="1854" t="s">
        <v>2592</v>
      </c>
      <c r="D15" s="1854" t="s">
        <v>2593</v>
      </c>
      <c r="E15" s="1854" t="s">
        <v>2594</v>
      </c>
      <c r="F15" s="1854" t="s">
        <v>2595</v>
      </c>
      <c r="G15" s="1854" t="s">
        <v>22</v>
      </c>
      <c r="H15" s="1854" t="s">
        <v>22</v>
      </c>
      <c r="I15" s="1854" t="s">
        <v>1068</v>
      </c>
    </row>
    <row customHeight="1" ht="11.25">
      <c r="A16" s="1854" t="s">
        <v>2542</v>
      </c>
      <c r="B16" s="1854" t="s">
        <v>16</v>
      </c>
      <c r="C16" s="1854" t="s">
        <v>2596</v>
      </c>
      <c r="D16" s="1854" t="s">
        <v>2597</v>
      </c>
      <c r="E16" s="1854" t="s">
        <v>2598</v>
      </c>
      <c r="F16" s="1854" t="s">
        <v>2599</v>
      </c>
      <c r="G16" s="1854" t="s">
        <v>22</v>
      </c>
      <c r="H16" s="1854" t="s">
        <v>22</v>
      </c>
      <c r="I16" s="1854" t="s">
        <v>1068</v>
      </c>
    </row>
    <row customHeight="1" ht="11.25">
      <c r="A17" s="1854" t="s">
        <v>2542</v>
      </c>
      <c r="B17" s="1854" t="s">
        <v>16</v>
      </c>
      <c r="C17" s="1854" t="s">
        <v>2600</v>
      </c>
      <c r="D17" s="1854" t="s">
        <v>2601</v>
      </c>
      <c r="E17" s="1854" t="s">
        <v>2602</v>
      </c>
      <c r="F17" s="1854" t="s">
        <v>2577</v>
      </c>
      <c r="G17" s="1854" t="s">
        <v>22</v>
      </c>
      <c r="H17" s="1854" t="s">
        <v>22</v>
      </c>
      <c r="I17" s="1854" t="s">
        <v>1068</v>
      </c>
    </row>
    <row customHeight="1" ht="11.25">
      <c r="A18" s="1854" t="s">
        <v>2542</v>
      </c>
      <c r="B18" s="1854" t="s">
        <v>16</v>
      </c>
      <c r="C18" s="1854" t="s">
        <v>2603</v>
      </c>
      <c r="D18" s="1854" t="s">
        <v>2604</v>
      </c>
      <c r="E18" s="1854" t="s">
        <v>2605</v>
      </c>
      <c r="F18" s="1854" t="s">
        <v>2606</v>
      </c>
      <c r="G18" s="1854" t="s">
        <v>22</v>
      </c>
      <c r="H18" s="1854" t="s">
        <v>22</v>
      </c>
      <c r="I18" s="1854" t="s">
        <v>1068</v>
      </c>
    </row>
    <row customHeight="1" ht="11.25">
      <c r="A19" s="1854" t="s">
        <v>2542</v>
      </c>
      <c r="B19" s="1854" t="s">
        <v>16</v>
      </c>
      <c r="C19" s="1854" t="s">
        <v>2607</v>
      </c>
      <c r="D19" s="1854" t="s">
        <v>2608</v>
      </c>
      <c r="E19" s="1854" t="s">
        <v>2609</v>
      </c>
      <c r="F19" s="1854" t="s">
        <v>2610</v>
      </c>
      <c r="G19" s="1854" t="s">
        <v>22</v>
      </c>
      <c r="H19" s="1854" t="s">
        <v>22</v>
      </c>
      <c r="I19" s="1854" t="s">
        <v>1068</v>
      </c>
    </row>
    <row customHeight="1" ht="11.25">
      <c r="A20" s="1854" t="s">
        <v>2542</v>
      </c>
      <c r="B20" s="1854" t="s">
        <v>16</v>
      </c>
      <c r="C20" s="1854" t="s">
        <v>2611</v>
      </c>
      <c r="D20" s="1854" t="s">
        <v>2612</v>
      </c>
      <c r="E20" s="1854" t="s">
        <v>2613</v>
      </c>
      <c r="F20" s="1854" t="s">
        <v>2606</v>
      </c>
      <c r="G20" s="1854" t="s">
        <v>22</v>
      </c>
      <c r="H20" s="1854" t="s">
        <v>22</v>
      </c>
      <c r="I20" s="1854" t="s">
        <v>1068</v>
      </c>
    </row>
    <row customHeight="1" ht="11.25">
      <c r="A21" s="1854" t="s">
        <v>2542</v>
      </c>
      <c r="B21" s="1854" t="s">
        <v>16</v>
      </c>
      <c r="C21" s="1854" t="s">
        <v>2614</v>
      </c>
      <c r="D21" s="1854" t="s">
        <v>2615</v>
      </c>
      <c r="E21" s="1854" t="s">
        <v>2616</v>
      </c>
      <c r="F21" s="1854" t="s">
        <v>2573</v>
      </c>
      <c r="G21" s="1854" t="s">
        <v>22</v>
      </c>
      <c r="H21" s="1854" t="s">
        <v>22</v>
      </c>
      <c r="I21" s="1854" t="s">
        <v>1068</v>
      </c>
    </row>
    <row customHeight="1" ht="11.25">
      <c r="A22" s="1854" t="s">
        <v>2542</v>
      </c>
      <c r="B22" s="1854" t="s">
        <v>16</v>
      </c>
      <c r="C22" s="1854" t="s">
        <v>2617</v>
      </c>
      <c r="D22" s="1854" t="s">
        <v>2618</v>
      </c>
      <c r="E22" s="1854" t="s">
        <v>2619</v>
      </c>
      <c r="F22" s="1854" t="s">
        <v>2620</v>
      </c>
      <c r="G22" s="1854" t="s">
        <v>22</v>
      </c>
      <c r="H22" s="1854" t="s">
        <v>22</v>
      </c>
      <c r="I22" s="1854" t="s">
        <v>1068</v>
      </c>
    </row>
    <row customHeight="1" ht="11.25">
      <c r="A23" s="1854" t="s">
        <v>2542</v>
      </c>
      <c r="B23" s="1854" t="s">
        <v>16</v>
      </c>
      <c r="C23" s="1854" t="s">
        <v>2621</v>
      </c>
      <c r="D23" s="1854" t="s">
        <v>2622</v>
      </c>
      <c r="E23" s="1854" t="s">
        <v>2623</v>
      </c>
      <c r="F23" s="1854" t="s">
        <v>50</v>
      </c>
      <c r="G23" s="1854" t="s">
        <v>2624</v>
      </c>
      <c r="H23" s="1854" t="s">
        <v>22</v>
      </c>
      <c r="I23" s="1854" t="s">
        <v>1068</v>
      </c>
    </row>
    <row customHeight="1" ht="11.25">
      <c r="A24" s="1854" t="s">
        <v>2542</v>
      </c>
      <c r="B24" s="1854" t="s">
        <v>16</v>
      </c>
      <c r="C24" s="1854" t="s">
        <v>2625</v>
      </c>
      <c r="D24" s="1854" t="s">
        <v>2626</v>
      </c>
      <c r="E24" s="1854" t="s">
        <v>2627</v>
      </c>
      <c r="F24" s="1854" t="s">
        <v>2606</v>
      </c>
      <c r="G24" s="1854" t="s">
        <v>22</v>
      </c>
      <c r="H24" s="1854" t="s">
        <v>22</v>
      </c>
      <c r="I24" s="1854" t="s">
        <v>1068</v>
      </c>
    </row>
    <row customHeight="1" ht="11.25">
      <c r="A25" s="1854" t="s">
        <v>2542</v>
      </c>
      <c r="B25" s="1854" t="s">
        <v>16</v>
      </c>
      <c r="C25" s="1854" t="s">
        <v>2628</v>
      </c>
      <c r="D25" s="1854" t="s">
        <v>2629</v>
      </c>
      <c r="E25" s="1854" t="s">
        <v>2630</v>
      </c>
      <c r="F25" s="1854" t="s">
        <v>2563</v>
      </c>
      <c r="G25" s="1854" t="s">
        <v>22</v>
      </c>
      <c r="H25" s="1854" t="s">
        <v>22</v>
      </c>
      <c r="I25" s="1854" t="s">
        <v>1068</v>
      </c>
    </row>
    <row customHeight="1" ht="11.25">
      <c r="A26" s="1854" t="s">
        <v>2542</v>
      </c>
      <c r="B26" s="1854" t="s">
        <v>16</v>
      </c>
      <c r="C26" s="1854" t="s">
        <v>2631</v>
      </c>
      <c r="D26" s="1854" t="s">
        <v>2632</v>
      </c>
      <c r="E26" s="1854" t="s">
        <v>2633</v>
      </c>
      <c r="F26" s="1854" t="s">
        <v>2563</v>
      </c>
      <c r="G26" s="1854" t="s">
        <v>2634</v>
      </c>
      <c r="H26" s="1854" t="s">
        <v>22</v>
      </c>
      <c r="I26" s="1854" t="s">
        <v>1068</v>
      </c>
    </row>
    <row customHeight="1" ht="11.25">
      <c r="A27" s="1854" t="s">
        <v>2542</v>
      </c>
      <c r="B27" s="1854" t="s">
        <v>16</v>
      </c>
      <c r="C27" s="1854" t="s">
        <v>2635</v>
      </c>
      <c r="D27" s="1854" t="s">
        <v>2636</v>
      </c>
      <c r="E27" s="1854" t="s">
        <v>2637</v>
      </c>
      <c r="F27" s="1854" t="s">
        <v>2573</v>
      </c>
      <c r="G27" s="1854" t="s">
        <v>22</v>
      </c>
      <c r="H27" s="1854" t="s">
        <v>22</v>
      </c>
      <c r="I27" s="1854" t="s">
        <v>1068</v>
      </c>
    </row>
    <row customHeight="1" ht="11.25">
      <c r="A28" s="1854" t="s">
        <v>2542</v>
      </c>
      <c r="B28" s="1854" t="s">
        <v>16</v>
      </c>
      <c r="C28" s="1854" t="s">
        <v>2638</v>
      </c>
      <c r="D28" s="1854" t="s">
        <v>2639</v>
      </c>
      <c r="E28" s="1854" t="s">
        <v>2640</v>
      </c>
      <c r="F28" s="1854" t="s">
        <v>2641</v>
      </c>
      <c r="G28" s="1854" t="s">
        <v>2642</v>
      </c>
      <c r="H28" s="1854" t="s">
        <v>22</v>
      </c>
      <c r="I28" s="1854" t="s">
        <v>1068</v>
      </c>
    </row>
    <row customHeight="1" ht="11.25">
      <c r="A29" s="1854" t="s">
        <v>2542</v>
      </c>
      <c r="B29" s="1854" t="s">
        <v>16</v>
      </c>
      <c r="C29" s="1854" t="s">
        <v>2643</v>
      </c>
      <c r="D29" s="1854" t="s">
        <v>2644</v>
      </c>
      <c r="E29" s="1854" t="s">
        <v>2645</v>
      </c>
      <c r="F29" s="1854" t="s">
        <v>2641</v>
      </c>
      <c r="G29" s="1854" t="s">
        <v>22</v>
      </c>
      <c r="H29" s="1854" t="s">
        <v>22</v>
      </c>
      <c r="I29" s="1854" t="s">
        <v>1068</v>
      </c>
    </row>
    <row customHeight="1" ht="11.25">
      <c r="A30" s="1854" t="s">
        <v>2542</v>
      </c>
      <c r="B30" s="1854" t="s">
        <v>16</v>
      </c>
      <c r="C30" s="1854" t="s">
        <v>2646</v>
      </c>
      <c r="D30" s="1854" t="s">
        <v>2647</v>
      </c>
      <c r="E30" s="1854" t="s">
        <v>2648</v>
      </c>
      <c r="F30" s="1854" t="s">
        <v>50</v>
      </c>
      <c r="G30" s="1854" t="s">
        <v>22</v>
      </c>
      <c r="H30" s="1854" t="s">
        <v>22</v>
      </c>
      <c r="I30" s="1854" t="s">
        <v>1068</v>
      </c>
    </row>
    <row customHeight="1" ht="11.25">
      <c r="A31" s="1854" t="s">
        <v>2542</v>
      </c>
      <c r="B31" s="1854" t="s">
        <v>16</v>
      </c>
      <c r="C31" s="1854" t="s">
        <v>2649</v>
      </c>
      <c r="D31" s="1854" t="s">
        <v>2650</v>
      </c>
      <c r="E31" s="1854" t="s">
        <v>2651</v>
      </c>
      <c r="F31" s="1854" t="s">
        <v>2652</v>
      </c>
      <c r="G31" s="1854" t="s">
        <v>22</v>
      </c>
      <c r="H31" s="1854" t="s">
        <v>22</v>
      </c>
      <c r="I31" s="1854" t="s">
        <v>1068</v>
      </c>
    </row>
    <row customHeight="1" ht="11.25">
      <c r="A32" s="1854" t="s">
        <v>2542</v>
      </c>
      <c r="B32" s="1854" t="s">
        <v>16</v>
      </c>
      <c r="C32" s="1854" t="s">
        <v>2653</v>
      </c>
      <c r="D32" s="1854" t="s">
        <v>2654</v>
      </c>
      <c r="E32" s="1854" t="s">
        <v>2655</v>
      </c>
      <c r="F32" s="1854" t="s">
        <v>2584</v>
      </c>
      <c r="G32" s="1854" t="s">
        <v>22</v>
      </c>
      <c r="H32" s="1854" t="s">
        <v>22</v>
      </c>
      <c r="I32" s="1854" t="s">
        <v>1068</v>
      </c>
    </row>
    <row customHeight="1" ht="11.25">
      <c r="A33" s="1854" t="s">
        <v>2542</v>
      </c>
      <c r="B33" s="1854" t="s">
        <v>16</v>
      </c>
      <c r="C33" s="1854" t="s">
        <v>2656</v>
      </c>
      <c r="D33" s="1854" t="s">
        <v>2657</v>
      </c>
      <c r="E33" s="1854" t="s">
        <v>2658</v>
      </c>
      <c r="F33" s="1854" t="s">
        <v>2610</v>
      </c>
      <c r="G33" s="1854" t="s">
        <v>22</v>
      </c>
      <c r="H33" s="1854" t="s">
        <v>22</v>
      </c>
      <c r="I33" s="1854" t="s">
        <v>1068</v>
      </c>
    </row>
    <row customHeight="1" ht="11.25">
      <c r="A34" s="1854" t="s">
        <v>2542</v>
      </c>
      <c r="B34" s="1854" t="s">
        <v>16</v>
      </c>
      <c r="C34" s="1854" t="s">
        <v>2659</v>
      </c>
      <c r="D34" s="1854" t="s">
        <v>2660</v>
      </c>
      <c r="E34" s="1854" t="s">
        <v>2661</v>
      </c>
      <c r="F34" s="1854" t="s">
        <v>50</v>
      </c>
      <c r="G34" s="1854" t="s">
        <v>22</v>
      </c>
      <c r="H34" s="1854" t="s">
        <v>22</v>
      </c>
      <c r="I34" s="1854" t="s">
        <v>1068</v>
      </c>
    </row>
    <row customHeight="1" ht="11.25">
      <c r="A35" s="1854" t="s">
        <v>2542</v>
      </c>
      <c r="B35" s="1854" t="s">
        <v>16</v>
      </c>
      <c r="C35" s="1854" t="s">
        <v>2662</v>
      </c>
      <c r="D35" s="1854" t="s">
        <v>2663</v>
      </c>
      <c r="E35" s="1854" t="s">
        <v>2664</v>
      </c>
      <c r="F35" s="1854" t="s">
        <v>2665</v>
      </c>
      <c r="G35" s="1854" t="s">
        <v>22</v>
      </c>
      <c r="H35" s="1854" t="s">
        <v>22</v>
      </c>
      <c r="I35" s="1854" t="s">
        <v>1068</v>
      </c>
    </row>
    <row customHeight="1" ht="11.25">
      <c r="A36" s="1854" t="s">
        <v>2542</v>
      </c>
      <c r="B36" s="1854" t="s">
        <v>16</v>
      </c>
      <c r="C36" s="1854" t="s">
        <v>2666</v>
      </c>
      <c r="D36" s="1854" t="s">
        <v>2667</v>
      </c>
      <c r="E36" s="1854" t="s">
        <v>2668</v>
      </c>
      <c r="F36" s="1854" t="s">
        <v>2669</v>
      </c>
      <c r="G36" s="1854" t="s">
        <v>22</v>
      </c>
      <c r="H36" s="1854" t="s">
        <v>22</v>
      </c>
      <c r="I36" s="1854" t="s">
        <v>1068</v>
      </c>
    </row>
    <row customHeight="1" ht="11.25">
      <c r="A37" s="1854" t="s">
        <v>2542</v>
      </c>
      <c r="B37" s="1854" t="s">
        <v>16</v>
      </c>
      <c r="C37" s="1854" t="s">
        <v>2670</v>
      </c>
      <c r="D37" s="1854" t="s">
        <v>2671</v>
      </c>
      <c r="E37" s="1854" t="s">
        <v>2672</v>
      </c>
      <c r="F37" s="1854" t="s">
        <v>50</v>
      </c>
      <c r="G37" s="1854" t="s">
        <v>22</v>
      </c>
      <c r="H37" s="1854" t="s">
        <v>22</v>
      </c>
      <c r="I37" s="1854" t="s">
        <v>1068</v>
      </c>
    </row>
    <row customHeight="1" ht="11.25">
      <c r="A38" s="1854" t="s">
        <v>2542</v>
      </c>
      <c r="B38" s="1854" t="s">
        <v>16</v>
      </c>
      <c r="C38" s="1854" t="s">
        <v>2673</v>
      </c>
      <c r="D38" s="1854" t="s">
        <v>2674</v>
      </c>
      <c r="E38" s="1854" t="s">
        <v>2675</v>
      </c>
      <c r="F38" s="1854" t="s">
        <v>2584</v>
      </c>
      <c r="G38" s="1854" t="s">
        <v>22</v>
      </c>
      <c r="H38" s="1854" t="s">
        <v>22</v>
      </c>
      <c r="I38" s="1854" t="s">
        <v>1068</v>
      </c>
    </row>
    <row customHeight="1" ht="11.25">
      <c r="A39" s="1854" t="s">
        <v>2542</v>
      </c>
      <c r="B39" s="1854" t="s">
        <v>16</v>
      </c>
      <c r="C39" s="1854" t="s">
        <v>2676</v>
      </c>
      <c r="D39" s="1854" t="s">
        <v>2677</v>
      </c>
      <c r="E39" s="1854" t="s">
        <v>2678</v>
      </c>
      <c r="F39" s="1854" t="s">
        <v>2679</v>
      </c>
      <c r="G39" s="1854" t="s">
        <v>2680</v>
      </c>
      <c r="H39" s="1854" t="s">
        <v>22</v>
      </c>
      <c r="I39" s="1854" t="s">
        <v>1068</v>
      </c>
    </row>
    <row customHeight="1" ht="11.25">
      <c r="A40" s="1854" t="s">
        <v>2542</v>
      </c>
      <c r="B40" s="1854" t="s">
        <v>16</v>
      </c>
      <c r="C40" s="1854" t="s">
        <v>2681</v>
      </c>
      <c r="D40" s="1854" t="s">
        <v>2682</v>
      </c>
      <c r="E40" s="1854" t="s">
        <v>2683</v>
      </c>
      <c r="F40" s="1854" t="s">
        <v>2550</v>
      </c>
      <c r="G40" s="1854" t="s">
        <v>22</v>
      </c>
      <c r="H40" s="1854" t="s">
        <v>22</v>
      </c>
      <c r="I40" s="1854" t="s">
        <v>1068</v>
      </c>
    </row>
    <row customHeight="1" ht="11.25">
      <c r="A41" s="1854" t="s">
        <v>2542</v>
      </c>
      <c r="B41" s="1854" t="s">
        <v>16</v>
      </c>
      <c r="C41" s="1854" t="s">
        <v>2684</v>
      </c>
      <c r="D41" s="1854" t="s">
        <v>2685</v>
      </c>
      <c r="E41" s="1854" t="s">
        <v>2683</v>
      </c>
      <c r="F41" s="1854" t="s">
        <v>2686</v>
      </c>
      <c r="G41" s="1854" t="s">
        <v>22</v>
      </c>
      <c r="H41" s="1854" t="s">
        <v>22</v>
      </c>
      <c r="I41" s="1854" t="s">
        <v>1068</v>
      </c>
    </row>
    <row customHeight="1" ht="11.25">
      <c r="A42" s="1854" t="s">
        <v>2542</v>
      </c>
      <c r="B42" s="1854" t="s">
        <v>16</v>
      </c>
      <c r="C42" s="1854" t="s">
        <v>2687</v>
      </c>
      <c r="D42" s="1854" t="s">
        <v>2688</v>
      </c>
      <c r="E42" s="1854" t="s">
        <v>2683</v>
      </c>
      <c r="F42" s="1854" t="s">
        <v>2689</v>
      </c>
      <c r="G42" s="1854" t="s">
        <v>22</v>
      </c>
      <c r="H42" s="1854" t="s">
        <v>22</v>
      </c>
      <c r="I42" s="1854" t="s">
        <v>1068</v>
      </c>
    </row>
    <row customHeight="1" ht="11.25">
      <c r="A43" s="1854" t="s">
        <v>2542</v>
      </c>
      <c r="B43" s="1854" t="s">
        <v>16</v>
      </c>
      <c r="C43" s="1854" t="s">
        <v>2690</v>
      </c>
      <c r="D43" s="1854" t="s">
        <v>2691</v>
      </c>
      <c r="E43" s="1854" t="s">
        <v>2683</v>
      </c>
      <c r="F43" s="1854" t="s">
        <v>2692</v>
      </c>
      <c r="G43" s="1854" t="s">
        <v>22</v>
      </c>
      <c r="H43" s="1854" t="s">
        <v>22</v>
      </c>
      <c r="I43" s="1854" t="s">
        <v>1068</v>
      </c>
    </row>
    <row customHeight="1" ht="11.25">
      <c r="A44" s="1854" t="s">
        <v>2542</v>
      </c>
      <c r="B44" s="1854" t="s">
        <v>16</v>
      </c>
      <c r="C44" s="1854" t="s">
        <v>2693</v>
      </c>
      <c r="D44" s="1854" t="s">
        <v>2694</v>
      </c>
      <c r="E44" s="1854" t="s">
        <v>2683</v>
      </c>
      <c r="F44" s="1854" t="s">
        <v>2695</v>
      </c>
      <c r="G44" s="1854" t="s">
        <v>22</v>
      </c>
      <c r="H44" s="1854" t="s">
        <v>22</v>
      </c>
      <c r="I44" s="1854" t="s">
        <v>1068</v>
      </c>
    </row>
    <row customHeight="1" ht="11.25">
      <c r="A45" s="1854" t="s">
        <v>2542</v>
      </c>
      <c r="B45" s="1854" t="s">
        <v>16</v>
      </c>
      <c r="C45" s="1854" t="s">
        <v>2696</v>
      </c>
      <c r="D45" s="1854" t="s">
        <v>2697</v>
      </c>
      <c r="E45" s="1854" t="s">
        <v>2683</v>
      </c>
      <c r="F45" s="1854" t="s">
        <v>2698</v>
      </c>
      <c r="G45" s="1854" t="s">
        <v>22</v>
      </c>
      <c r="H45" s="1854" t="s">
        <v>22</v>
      </c>
      <c r="I45" s="1854" t="s">
        <v>1068</v>
      </c>
    </row>
    <row customHeight="1" ht="11.25">
      <c r="A46" s="1854" t="s">
        <v>2542</v>
      </c>
      <c r="B46" s="1854" t="s">
        <v>16</v>
      </c>
      <c r="C46" s="1854" t="s">
        <v>2699</v>
      </c>
      <c r="D46" s="1854" t="s">
        <v>2700</v>
      </c>
      <c r="E46" s="1854" t="s">
        <v>2683</v>
      </c>
      <c r="F46" s="1854" t="s">
        <v>2701</v>
      </c>
      <c r="G46" s="1854" t="s">
        <v>22</v>
      </c>
      <c r="H46" s="1854" t="s">
        <v>22</v>
      </c>
      <c r="I46" s="1854" t="s">
        <v>1068</v>
      </c>
    </row>
    <row customHeight="1" ht="11.25">
      <c r="A47" s="1854" t="s">
        <v>2542</v>
      </c>
      <c r="B47" s="1854" t="s">
        <v>16</v>
      </c>
      <c r="C47" s="1854" t="s">
        <v>2702</v>
      </c>
      <c r="D47" s="1854" t="s">
        <v>2703</v>
      </c>
      <c r="E47" s="1854" t="s">
        <v>2683</v>
      </c>
      <c r="F47" s="1854" t="s">
        <v>2704</v>
      </c>
      <c r="G47" s="1854" t="s">
        <v>22</v>
      </c>
      <c r="H47" s="1854" t="s">
        <v>22</v>
      </c>
      <c r="I47" s="1854" t="s">
        <v>1068</v>
      </c>
    </row>
    <row customHeight="1" ht="11.25">
      <c r="A48" s="1854" t="s">
        <v>2542</v>
      </c>
      <c r="B48" s="1854" t="s">
        <v>16</v>
      </c>
      <c r="C48" s="1854" t="s">
        <v>2705</v>
      </c>
      <c r="D48" s="1854" t="s">
        <v>2706</v>
      </c>
      <c r="E48" s="1854" t="s">
        <v>2707</v>
      </c>
      <c r="F48" s="1854" t="s">
        <v>2708</v>
      </c>
      <c r="G48" s="1854" t="s">
        <v>22</v>
      </c>
      <c r="H48" s="1854" t="s">
        <v>22</v>
      </c>
      <c r="I48" s="1854" t="s">
        <v>1068</v>
      </c>
    </row>
    <row customHeight="1" ht="11.25">
      <c r="A49" s="1854" t="s">
        <v>2542</v>
      </c>
      <c r="B49" s="1854" t="s">
        <v>16</v>
      </c>
      <c r="C49" s="1854" t="s">
        <v>2709</v>
      </c>
      <c r="D49" s="1854" t="s">
        <v>2710</v>
      </c>
      <c r="E49" s="1854" t="s">
        <v>2711</v>
      </c>
      <c r="F49" s="1854" t="s">
        <v>2550</v>
      </c>
      <c r="G49" s="1854" t="s">
        <v>22</v>
      </c>
      <c r="H49" s="1854" t="s">
        <v>22</v>
      </c>
      <c r="I49" s="1854" t="s">
        <v>1068</v>
      </c>
    </row>
    <row customHeight="1" ht="11.25">
      <c r="A50" s="1854" t="s">
        <v>2542</v>
      </c>
      <c r="B50" s="1854" t="s">
        <v>16</v>
      </c>
      <c r="C50" s="1854" t="s">
        <v>2712</v>
      </c>
      <c r="D50" s="1854" t="s">
        <v>2713</v>
      </c>
      <c r="E50" s="1854" t="s">
        <v>2714</v>
      </c>
      <c r="F50" s="1854" t="s">
        <v>50</v>
      </c>
      <c r="G50" s="1854" t="s">
        <v>22</v>
      </c>
      <c r="H50" s="1854" t="s">
        <v>22</v>
      </c>
      <c r="I50" s="1854" t="s">
        <v>1068</v>
      </c>
    </row>
    <row customHeight="1" ht="11.25">
      <c r="A51" s="1854" t="s">
        <v>2542</v>
      </c>
      <c r="B51" s="1854" t="s">
        <v>16</v>
      </c>
      <c r="C51" s="1854" t="s">
        <v>2715</v>
      </c>
      <c r="D51" s="1854" t="s">
        <v>2716</v>
      </c>
      <c r="E51" s="1854" t="s">
        <v>2717</v>
      </c>
      <c r="F51" s="1854" t="s">
        <v>2558</v>
      </c>
      <c r="G51" s="1854" t="s">
        <v>22</v>
      </c>
      <c r="H51" s="1854" t="s">
        <v>22</v>
      </c>
      <c r="I51" s="1854" t="s">
        <v>1068</v>
      </c>
    </row>
    <row customHeight="1" ht="11.25">
      <c r="A52" s="1854" t="s">
        <v>2542</v>
      </c>
      <c r="B52" s="1854" t="s">
        <v>16</v>
      </c>
      <c r="C52" s="1854" t="s">
        <v>2718</v>
      </c>
      <c r="D52" s="1854" t="s">
        <v>2719</v>
      </c>
      <c r="E52" s="1854" t="s">
        <v>2720</v>
      </c>
      <c r="F52" s="1854" t="s">
        <v>2721</v>
      </c>
      <c r="G52" s="1854" t="s">
        <v>22</v>
      </c>
      <c r="H52" s="1854" t="s">
        <v>22</v>
      </c>
      <c r="I52" s="1854" t="s">
        <v>1068</v>
      </c>
    </row>
    <row customHeight="1" ht="11.25">
      <c r="A53" s="1854" t="s">
        <v>2542</v>
      </c>
      <c r="B53" s="1854" t="s">
        <v>16</v>
      </c>
      <c r="C53" s="1854" t="s">
        <v>2722</v>
      </c>
      <c r="D53" s="1854" t="s">
        <v>2723</v>
      </c>
      <c r="E53" s="1854" t="s">
        <v>2724</v>
      </c>
      <c r="F53" s="1854" t="s">
        <v>2725</v>
      </c>
      <c r="G53" s="1854" t="s">
        <v>22</v>
      </c>
      <c r="H53" s="1854" t="s">
        <v>22</v>
      </c>
      <c r="I53" s="1854" t="s">
        <v>1068</v>
      </c>
    </row>
    <row customHeight="1" ht="11.25">
      <c r="A54" s="1854" t="s">
        <v>2542</v>
      </c>
      <c r="B54" s="1854" t="s">
        <v>16</v>
      </c>
      <c r="C54" s="1854" t="s">
        <v>2726</v>
      </c>
      <c r="D54" s="1854" t="s">
        <v>2727</v>
      </c>
      <c r="E54" s="1854" t="s">
        <v>2728</v>
      </c>
      <c r="F54" s="1854" t="s">
        <v>2729</v>
      </c>
      <c r="G54" s="1854" t="s">
        <v>22</v>
      </c>
      <c r="H54" s="1854" t="s">
        <v>22</v>
      </c>
      <c r="I54" s="1854" t="s">
        <v>1068</v>
      </c>
    </row>
    <row customHeight="1" ht="11.25">
      <c r="A55" s="1854" t="s">
        <v>2542</v>
      </c>
      <c r="B55" s="1854" t="s">
        <v>16</v>
      </c>
      <c r="C55" s="1854" t="s">
        <v>2730</v>
      </c>
      <c r="D55" s="1854" t="s">
        <v>2731</v>
      </c>
      <c r="E55" s="1854" t="s">
        <v>2732</v>
      </c>
      <c r="F55" s="1854" t="s">
        <v>2733</v>
      </c>
      <c r="G55" s="1854" t="s">
        <v>22</v>
      </c>
      <c r="H55" s="1854" t="s">
        <v>22</v>
      </c>
      <c r="I55" s="1854" t="s">
        <v>1068</v>
      </c>
    </row>
    <row customHeight="1" ht="11.25">
      <c r="A56" s="1854" t="s">
        <v>2542</v>
      </c>
      <c r="B56" s="1854" t="s">
        <v>16</v>
      </c>
      <c r="C56" s="1854" t="s">
        <v>2734</v>
      </c>
      <c r="D56" s="1854" t="s">
        <v>2735</v>
      </c>
      <c r="E56" s="1854" t="s">
        <v>2736</v>
      </c>
      <c r="F56" s="1854" t="s">
        <v>2558</v>
      </c>
      <c r="G56" s="1854" t="s">
        <v>22</v>
      </c>
      <c r="H56" s="1854" t="s">
        <v>22</v>
      </c>
      <c r="I56" s="1854" t="s">
        <v>1068</v>
      </c>
    </row>
    <row customHeight="1" ht="11.25">
      <c r="A57" s="1854" t="s">
        <v>2542</v>
      </c>
      <c r="B57" s="1854" t="s">
        <v>16</v>
      </c>
      <c r="C57" s="1854" t="s">
        <v>2737</v>
      </c>
      <c r="D57" s="1854" t="s">
        <v>2738</v>
      </c>
      <c r="E57" s="1854" t="s">
        <v>2739</v>
      </c>
      <c r="F57" s="1854" t="s">
        <v>2733</v>
      </c>
      <c r="G57" s="1854" t="s">
        <v>22</v>
      </c>
      <c r="H57" s="1854" t="s">
        <v>22</v>
      </c>
      <c r="I57" s="1854" t="s">
        <v>1068</v>
      </c>
    </row>
    <row customHeight="1" ht="11.25">
      <c r="A58" s="1854" t="s">
        <v>2542</v>
      </c>
      <c r="B58" s="1854" t="s">
        <v>16</v>
      </c>
      <c r="C58" s="1854" t="s">
        <v>2740</v>
      </c>
      <c r="D58" s="1854" t="s">
        <v>2741</v>
      </c>
      <c r="E58" s="1854" t="s">
        <v>2742</v>
      </c>
      <c r="F58" s="1854" t="s">
        <v>2743</v>
      </c>
      <c r="G58" s="1854" t="s">
        <v>22</v>
      </c>
      <c r="H58" s="1854" t="s">
        <v>22</v>
      </c>
      <c r="I58" s="1854" t="s">
        <v>1068</v>
      </c>
    </row>
    <row customHeight="1" ht="11.25">
      <c r="A59" s="1854" t="s">
        <v>2542</v>
      </c>
      <c r="B59" s="1854" t="s">
        <v>16</v>
      </c>
      <c r="C59" s="1854" t="s">
        <v>2744</v>
      </c>
      <c r="D59" s="1854" t="s">
        <v>2745</v>
      </c>
      <c r="E59" s="1854" t="s">
        <v>2746</v>
      </c>
      <c r="F59" s="1854" t="s">
        <v>2620</v>
      </c>
      <c r="G59" s="1854" t="s">
        <v>2747</v>
      </c>
      <c r="H59" s="1854" t="s">
        <v>22</v>
      </c>
      <c r="I59" s="1854" t="s">
        <v>1068</v>
      </c>
    </row>
    <row customHeight="1" ht="11.25">
      <c r="A60" s="1854" t="s">
        <v>2542</v>
      </c>
      <c r="B60" s="1854" t="s">
        <v>16</v>
      </c>
      <c r="C60" s="1854" t="s">
        <v>13</v>
      </c>
      <c r="D60" s="1854" t="s">
        <v>45</v>
      </c>
      <c r="E60" s="1854" t="s">
        <v>48</v>
      </c>
      <c r="F60" s="1854" t="s">
        <v>50</v>
      </c>
      <c r="G60" s="1854" t="s">
        <v>22</v>
      </c>
      <c r="H60" s="1854" t="s">
        <v>22</v>
      </c>
      <c r="I60" s="1854" t="s">
        <v>1068</v>
      </c>
    </row>
    <row customHeight="1" ht="11.25">
      <c r="A61" s="1854" t="s">
        <v>2542</v>
      </c>
      <c r="B61" s="1854" t="s">
        <v>16</v>
      </c>
      <c r="C61" s="1854" t="s">
        <v>2748</v>
      </c>
      <c r="D61" s="1854" t="s">
        <v>2749</v>
      </c>
      <c r="E61" s="1854" t="s">
        <v>2750</v>
      </c>
      <c r="F61" s="1854" t="s">
        <v>2751</v>
      </c>
      <c r="G61" s="1854" t="s">
        <v>2752</v>
      </c>
      <c r="H61" s="1854" t="s">
        <v>22</v>
      </c>
      <c r="I61" s="1854" t="s">
        <v>1068</v>
      </c>
    </row>
    <row customHeight="1" ht="11.25">
      <c r="A62" s="1854" t="s">
        <v>2542</v>
      </c>
      <c r="B62" s="1854" t="s">
        <v>16</v>
      </c>
      <c r="C62" s="1854" t="s">
        <v>2753</v>
      </c>
      <c r="D62" s="1854" t="s">
        <v>2754</v>
      </c>
      <c r="E62" s="1854" t="s">
        <v>2755</v>
      </c>
      <c r="F62" s="1854" t="s">
        <v>2584</v>
      </c>
      <c r="G62" s="1854" t="s">
        <v>2756</v>
      </c>
      <c r="H62" s="1854" t="s">
        <v>22</v>
      </c>
      <c r="I62" s="1854" t="s">
        <v>1068</v>
      </c>
    </row>
    <row customHeight="1" ht="11.25">
      <c r="A63" s="1854" t="s">
        <v>2542</v>
      </c>
      <c r="B63" s="1854" t="s">
        <v>16</v>
      </c>
      <c r="C63" s="1854" t="s">
        <v>2757</v>
      </c>
      <c r="D63" s="1854" t="s">
        <v>2758</v>
      </c>
      <c r="E63" s="1854" t="s">
        <v>2759</v>
      </c>
      <c r="F63" s="1854" t="s">
        <v>2743</v>
      </c>
      <c r="G63" s="1854" t="s">
        <v>22</v>
      </c>
      <c r="H63" s="1854" t="s">
        <v>22</v>
      </c>
      <c r="I63" s="1854" t="s">
        <v>1068</v>
      </c>
    </row>
    <row customHeight="1" ht="11.25">
      <c r="A64" s="1854" t="s">
        <v>2542</v>
      </c>
      <c r="B64" s="1854" t="s">
        <v>16</v>
      </c>
      <c r="C64" s="1854" t="s">
        <v>2760</v>
      </c>
      <c r="D64" s="1854" t="s">
        <v>2761</v>
      </c>
      <c r="E64" s="1854" t="s">
        <v>2762</v>
      </c>
      <c r="F64" s="1854" t="s">
        <v>2563</v>
      </c>
      <c r="G64" s="1854" t="s">
        <v>2763</v>
      </c>
      <c r="H64" s="1854" t="s">
        <v>22</v>
      </c>
      <c r="I64" s="1854" t="s">
        <v>1068</v>
      </c>
    </row>
    <row customHeight="1" ht="11.25">
      <c r="A65" s="1854" t="s">
        <v>2542</v>
      </c>
      <c r="B65" s="1854" t="s">
        <v>16</v>
      </c>
      <c r="C65" s="1854" t="s">
        <v>2764</v>
      </c>
      <c r="D65" s="1854" t="s">
        <v>2765</v>
      </c>
      <c r="E65" s="1854" t="s">
        <v>2766</v>
      </c>
      <c r="F65" s="1854" t="s">
        <v>2767</v>
      </c>
      <c r="G65" s="1854" t="s">
        <v>2768</v>
      </c>
      <c r="H65" s="1854" t="s">
        <v>22</v>
      </c>
      <c r="I65" s="1854" t="s">
        <v>1068</v>
      </c>
    </row>
    <row customHeight="1" ht="11.25">
      <c r="A66" s="1854" t="s">
        <v>2542</v>
      </c>
      <c r="B66" s="1854" t="s">
        <v>16</v>
      </c>
      <c r="C66" s="1854" t="s">
        <v>2769</v>
      </c>
      <c r="D66" s="1854" t="s">
        <v>2770</v>
      </c>
      <c r="E66" s="1854" t="s">
        <v>2771</v>
      </c>
      <c r="F66" s="1854" t="s">
        <v>2767</v>
      </c>
      <c r="G66" s="1854" t="s">
        <v>22</v>
      </c>
      <c r="H66" s="1854" t="s">
        <v>22</v>
      </c>
      <c r="I66" s="1854" t="s">
        <v>1068</v>
      </c>
    </row>
    <row customHeight="1" ht="11.25">
      <c r="A67" s="1854" t="s">
        <v>2542</v>
      </c>
      <c r="B67" s="1854" t="s">
        <v>16</v>
      </c>
      <c r="C67" s="1854" t="s">
        <v>2772</v>
      </c>
      <c r="D67" s="1854" t="s">
        <v>2773</v>
      </c>
      <c r="E67" s="1854" t="s">
        <v>2774</v>
      </c>
      <c r="F67" s="1854" t="s">
        <v>2767</v>
      </c>
      <c r="G67" s="1854" t="s">
        <v>22</v>
      </c>
      <c r="H67" s="1854" t="s">
        <v>22</v>
      </c>
      <c r="I67" s="1854" t="s">
        <v>1068</v>
      </c>
    </row>
    <row customHeight="1" ht="11.25">
      <c r="A68" s="1854" t="s">
        <v>2542</v>
      </c>
      <c r="B68" s="1854" t="s">
        <v>16</v>
      </c>
      <c r="C68" s="1854" t="s">
        <v>2775</v>
      </c>
      <c r="D68" s="1854" t="s">
        <v>2776</v>
      </c>
      <c r="E68" s="1854" t="s">
        <v>2683</v>
      </c>
      <c r="F68" s="1854" t="s">
        <v>2777</v>
      </c>
      <c r="G68" s="1854" t="s">
        <v>22</v>
      </c>
      <c r="H68" s="1854" t="s">
        <v>22</v>
      </c>
      <c r="I68" s="1854" t="s">
        <v>1068</v>
      </c>
    </row>
    <row customHeight="1" ht="11.25">
      <c r="A69" s="1854" t="s">
        <v>2542</v>
      </c>
      <c r="B69" s="1854" t="s">
        <v>16</v>
      </c>
      <c r="C69" s="1854" t="s">
        <v>2778</v>
      </c>
      <c r="D69" s="1854" t="s">
        <v>2779</v>
      </c>
      <c r="E69" s="1854" t="s">
        <v>2780</v>
      </c>
      <c r="F69" s="1854" t="s">
        <v>2781</v>
      </c>
      <c r="G69" s="1854" t="s">
        <v>22</v>
      </c>
      <c r="H69" s="1854" t="s">
        <v>22</v>
      </c>
      <c r="I69" s="1854" t="s">
        <v>1068</v>
      </c>
    </row>
    <row customHeight="1" ht="11.25">
      <c r="A70" s="1854" t="s">
        <v>2542</v>
      </c>
      <c r="B70" s="1854" t="s">
        <v>16</v>
      </c>
      <c r="C70" s="1854" t="s">
        <v>2782</v>
      </c>
      <c r="D70" s="1854" t="s">
        <v>2783</v>
      </c>
      <c r="E70" s="1854" t="s">
        <v>2784</v>
      </c>
      <c r="F70" s="1854" t="s">
        <v>2785</v>
      </c>
      <c r="G70" s="1854" t="s">
        <v>2786</v>
      </c>
      <c r="H70" s="1854" t="s">
        <v>22</v>
      </c>
      <c r="I70" s="1854" t="s">
        <v>1068</v>
      </c>
    </row>
    <row customHeight="1" ht="11.25">
      <c r="A71" s="1854" t="s">
        <v>2542</v>
      </c>
      <c r="B71" s="1854" t="s">
        <v>16</v>
      </c>
      <c r="C71" s="1854" t="s">
        <v>2787</v>
      </c>
      <c r="D71" s="1854" t="s">
        <v>2788</v>
      </c>
      <c r="E71" s="1854" t="s">
        <v>2789</v>
      </c>
      <c r="F71" s="1854" t="s">
        <v>2790</v>
      </c>
      <c r="G71" s="1854" t="s">
        <v>22</v>
      </c>
      <c r="H71" s="1854" t="s">
        <v>22</v>
      </c>
      <c r="I71" s="1854" t="s">
        <v>1068</v>
      </c>
    </row>
    <row customHeight="1" ht="11.25">
      <c r="A72" s="1854" t="s">
        <v>2542</v>
      </c>
      <c r="B72" s="1854" t="s">
        <v>16</v>
      </c>
      <c r="C72" s="1854" t="s">
        <v>2791</v>
      </c>
      <c r="D72" s="1854" t="s">
        <v>2792</v>
      </c>
      <c r="E72" s="1854" t="s">
        <v>2793</v>
      </c>
      <c r="F72" s="1854" t="s">
        <v>2794</v>
      </c>
      <c r="G72" s="1854" t="s">
        <v>22</v>
      </c>
      <c r="H72" s="1854" t="s">
        <v>22</v>
      </c>
      <c r="I72" s="1854" t="s">
        <v>1068</v>
      </c>
    </row>
    <row customHeight="1" ht="11.25">
      <c r="A73" s="1854" t="s">
        <v>2542</v>
      </c>
      <c r="B73" s="1854" t="s">
        <v>16</v>
      </c>
      <c r="C73" s="1854" t="s">
        <v>2795</v>
      </c>
      <c r="D73" s="1854" t="s">
        <v>2796</v>
      </c>
      <c r="E73" s="1854" t="s">
        <v>2797</v>
      </c>
      <c r="F73" s="1854" t="s">
        <v>2641</v>
      </c>
      <c r="G73" s="1854" t="s">
        <v>22</v>
      </c>
      <c r="H73" s="1854" t="s">
        <v>22</v>
      </c>
      <c r="I73" s="1854" t="s">
        <v>1068</v>
      </c>
    </row>
    <row customHeight="1" ht="11.25">
      <c r="A74" s="1854" t="s">
        <v>2542</v>
      </c>
      <c r="B74" s="1854" t="s">
        <v>16</v>
      </c>
      <c r="C74" s="1854" t="s">
        <v>2798</v>
      </c>
      <c r="D74" s="1854" t="s">
        <v>2799</v>
      </c>
      <c r="E74" s="1854" t="s">
        <v>2800</v>
      </c>
      <c r="F74" s="1854" t="s">
        <v>2801</v>
      </c>
      <c r="G74" s="1854" t="s">
        <v>22</v>
      </c>
      <c r="H74" s="1854" t="s">
        <v>22</v>
      </c>
      <c r="I74" s="1854" t="s">
        <v>1068</v>
      </c>
    </row>
    <row customHeight="1" ht="11.25">
      <c r="A75" s="1854" t="s">
        <v>2542</v>
      </c>
      <c r="B75" s="1854" t="s">
        <v>16</v>
      </c>
      <c r="C75" s="1854" t="s">
        <v>2802</v>
      </c>
      <c r="D75" s="1854" t="s">
        <v>2803</v>
      </c>
      <c r="E75" s="1854" t="s">
        <v>2804</v>
      </c>
      <c r="F75" s="1854" t="s">
        <v>2805</v>
      </c>
      <c r="G75" s="1854" t="s">
        <v>22</v>
      </c>
      <c r="H75" s="1854" t="s">
        <v>22</v>
      </c>
      <c r="I75" s="1854" t="s">
        <v>1068</v>
      </c>
    </row>
    <row customHeight="1" ht="11.25">
      <c r="A76" s="1854" t="s">
        <v>2542</v>
      </c>
      <c r="B76" s="1854" t="s">
        <v>16</v>
      </c>
      <c r="C76" s="1854" t="s">
        <v>2806</v>
      </c>
      <c r="D76" s="1854" t="s">
        <v>2807</v>
      </c>
      <c r="E76" s="1854" t="s">
        <v>2808</v>
      </c>
      <c r="F76" s="1854" t="s">
        <v>2809</v>
      </c>
      <c r="G76" s="1854" t="s">
        <v>22</v>
      </c>
      <c r="H76" s="1854" t="s">
        <v>22</v>
      </c>
      <c r="I76" s="1854" t="s">
        <v>1068</v>
      </c>
    </row>
    <row customHeight="1" ht="11.25">
      <c r="A77" s="1854" t="s">
        <v>2542</v>
      </c>
      <c r="B77" s="1854" t="s">
        <v>16</v>
      </c>
      <c r="C77" s="1854" t="s">
        <v>2810</v>
      </c>
      <c r="D77" s="1854" t="s">
        <v>2811</v>
      </c>
      <c r="E77" s="1854" t="s">
        <v>2812</v>
      </c>
      <c r="F77" s="1854" t="s">
        <v>2813</v>
      </c>
      <c r="G77" s="1854" t="s">
        <v>22</v>
      </c>
      <c r="H77" s="1854" t="s">
        <v>22</v>
      </c>
      <c r="I77" s="1854" t="s">
        <v>1068</v>
      </c>
    </row>
    <row customHeight="1" ht="11.25">
      <c r="A78" s="1854" t="s">
        <v>2542</v>
      </c>
      <c r="B78" s="1854" t="s">
        <v>16</v>
      </c>
      <c r="C78" s="1854" t="s">
        <v>2814</v>
      </c>
      <c r="D78" s="1854" t="s">
        <v>2815</v>
      </c>
      <c r="E78" s="1854" t="s">
        <v>2816</v>
      </c>
      <c r="F78" s="1854" t="s">
        <v>2817</v>
      </c>
      <c r="G78" s="1854" t="s">
        <v>22</v>
      </c>
      <c r="H78" s="1854" t="s">
        <v>22</v>
      </c>
      <c r="I78" s="1854" t="s">
        <v>1068</v>
      </c>
    </row>
    <row customHeight="1" ht="11.25">
      <c r="A79" s="1854" t="s">
        <v>2542</v>
      </c>
      <c r="B79" s="1854" t="s">
        <v>16</v>
      </c>
      <c r="C79" s="1854" t="s">
        <v>2818</v>
      </c>
      <c r="D79" s="1854" t="s">
        <v>2819</v>
      </c>
      <c r="E79" s="1854" t="s">
        <v>2820</v>
      </c>
      <c r="F79" s="1854" t="s">
        <v>2821</v>
      </c>
      <c r="G79" s="1854" t="s">
        <v>22</v>
      </c>
      <c r="H79" s="1854" t="s">
        <v>22</v>
      </c>
      <c r="I79" s="1854" t="s">
        <v>1068</v>
      </c>
    </row>
    <row customHeight="1" ht="11.25">
      <c r="A80" s="1854" t="s">
        <v>2542</v>
      </c>
      <c r="B80" s="1854" t="s">
        <v>16</v>
      </c>
      <c r="C80" s="1854" t="s">
        <v>2822</v>
      </c>
      <c r="D80" s="1854" t="s">
        <v>2823</v>
      </c>
      <c r="E80" s="1854" t="s">
        <v>2824</v>
      </c>
      <c r="F80" s="1854" t="s">
        <v>2606</v>
      </c>
      <c r="G80" s="1854" t="s">
        <v>22</v>
      </c>
      <c r="H80" s="1854" t="s">
        <v>22</v>
      </c>
      <c r="I80" s="1854" t="s">
        <v>1068</v>
      </c>
    </row>
    <row customHeight="1" ht="11.25">
      <c r="A81" s="1854" t="s">
        <v>2542</v>
      </c>
      <c r="B81" s="1854" t="s">
        <v>16</v>
      </c>
      <c r="C81" s="1854" t="s">
        <v>2825</v>
      </c>
      <c r="D81" s="1854" t="s">
        <v>2826</v>
      </c>
      <c r="E81" s="1854" t="s">
        <v>2827</v>
      </c>
      <c r="F81" s="1854" t="s">
        <v>2828</v>
      </c>
      <c r="G81" s="1854" t="s">
        <v>22</v>
      </c>
      <c r="H81" s="1854" t="s">
        <v>22</v>
      </c>
      <c r="I81" s="1854" t="s">
        <v>1068</v>
      </c>
    </row>
    <row customHeight="1" ht="11.25">
      <c r="A82" s="1854" t="s">
        <v>2542</v>
      </c>
      <c r="B82" s="1854" t="s">
        <v>16</v>
      </c>
      <c r="C82" s="1854" t="s">
        <v>2829</v>
      </c>
      <c r="D82" s="1854" t="s">
        <v>2830</v>
      </c>
      <c r="E82" s="1854" t="s">
        <v>2831</v>
      </c>
      <c r="F82" s="1854" t="s">
        <v>2584</v>
      </c>
      <c r="G82" s="1854" t="s">
        <v>22</v>
      </c>
      <c r="H82" s="1854" t="s">
        <v>22</v>
      </c>
      <c r="I82" s="1854" t="s">
        <v>1068</v>
      </c>
    </row>
    <row customHeight="1" ht="11.25">
      <c r="A83" s="1854" t="s">
        <v>2542</v>
      </c>
      <c r="B83" s="1854" t="s">
        <v>16</v>
      </c>
      <c r="C83" s="1854" t="s">
        <v>2832</v>
      </c>
      <c r="D83" s="1854" t="s">
        <v>2833</v>
      </c>
      <c r="E83" s="1854" t="s">
        <v>2834</v>
      </c>
      <c r="F83" s="1854" t="s">
        <v>2573</v>
      </c>
      <c r="G83" s="1854" t="s">
        <v>22</v>
      </c>
      <c r="H83" s="1854" t="s">
        <v>22</v>
      </c>
      <c r="I83" s="1854" t="s">
        <v>1068</v>
      </c>
    </row>
    <row customHeight="1" ht="11.25">
      <c r="A84" s="1854" t="s">
        <v>2542</v>
      </c>
      <c r="B84" s="1854" t="s">
        <v>16</v>
      </c>
      <c r="C84" s="1854" t="s">
        <v>2835</v>
      </c>
      <c r="D84" s="1854" t="s">
        <v>2836</v>
      </c>
      <c r="E84" s="1854" t="s">
        <v>2837</v>
      </c>
      <c r="F84" s="1854" t="s">
        <v>2599</v>
      </c>
      <c r="G84" s="1854" t="s">
        <v>22</v>
      </c>
      <c r="H84" s="1854" t="s">
        <v>22</v>
      </c>
      <c r="I84" s="1854" t="s">
        <v>1068</v>
      </c>
    </row>
    <row customHeight="1" ht="11.25">
      <c r="A85" s="1854" t="s">
        <v>2542</v>
      </c>
      <c r="B85" s="1854" t="s">
        <v>16</v>
      </c>
      <c r="C85" s="1854" t="s">
        <v>2838</v>
      </c>
      <c r="D85" s="1854" t="s">
        <v>2839</v>
      </c>
      <c r="E85" s="1854" t="s">
        <v>2840</v>
      </c>
      <c r="F85" s="1854" t="s">
        <v>2610</v>
      </c>
      <c r="G85" s="1854" t="s">
        <v>22</v>
      </c>
      <c r="H85" s="1854" t="s">
        <v>22</v>
      </c>
      <c r="I85" s="1854" t="s">
        <v>1068</v>
      </c>
    </row>
    <row customHeight="1" ht="11.25">
      <c r="A86" s="1854" t="s">
        <v>2542</v>
      </c>
      <c r="B86" s="1854" t="s">
        <v>16</v>
      </c>
      <c r="C86" s="1854" t="s">
        <v>2841</v>
      </c>
      <c r="D86" s="1854" t="s">
        <v>2842</v>
      </c>
      <c r="E86" s="1854" t="s">
        <v>2843</v>
      </c>
      <c r="F86" s="1854" t="s">
        <v>2844</v>
      </c>
      <c r="G86" s="1854" t="s">
        <v>22</v>
      </c>
      <c r="H86" s="1854" t="s">
        <v>22</v>
      </c>
      <c r="I86" s="1854" t="s">
        <v>1068</v>
      </c>
    </row>
    <row customHeight="1" ht="11.25">
      <c r="A87" s="1854" t="s">
        <v>2542</v>
      </c>
      <c r="B87" s="1854" t="s">
        <v>16</v>
      </c>
      <c r="C87" s="1854" t="s">
        <v>2845</v>
      </c>
      <c r="D87" s="1854" t="s">
        <v>2846</v>
      </c>
      <c r="E87" s="1854" t="s">
        <v>2847</v>
      </c>
      <c r="F87" s="1854" t="s">
        <v>2679</v>
      </c>
      <c r="G87" s="1854" t="s">
        <v>22</v>
      </c>
      <c r="H87" s="1854" t="s">
        <v>22</v>
      </c>
      <c r="I87" s="1854" t="s">
        <v>1068</v>
      </c>
    </row>
    <row customHeight="1" ht="11.25">
      <c r="A88" s="1854" t="s">
        <v>2542</v>
      </c>
      <c r="B88" s="1854" t="s">
        <v>16</v>
      </c>
      <c r="C88" s="1854" t="s">
        <v>2848</v>
      </c>
      <c r="D88" s="1854" t="s">
        <v>2849</v>
      </c>
      <c r="E88" s="1854" t="s">
        <v>2850</v>
      </c>
      <c r="F88" s="1854" t="s">
        <v>2550</v>
      </c>
      <c r="G88" s="1854" t="s">
        <v>22</v>
      </c>
      <c r="H88" s="1854" t="s">
        <v>22</v>
      </c>
      <c r="I88" s="1854" t="s">
        <v>1068</v>
      </c>
    </row>
    <row customHeight="1" ht="11.25">
      <c r="A89" s="1854" t="s">
        <v>2542</v>
      </c>
      <c r="B89" s="1854" t="s">
        <v>16</v>
      </c>
      <c r="C89" s="1854" t="s">
        <v>2851</v>
      </c>
      <c r="D89" s="1854" t="s">
        <v>2852</v>
      </c>
      <c r="E89" s="1854" t="s">
        <v>2853</v>
      </c>
      <c r="F89" s="1854" t="s">
        <v>2854</v>
      </c>
      <c r="G89" s="1854" t="s">
        <v>22</v>
      </c>
      <c r="H89" s="1854" t="s">
        <v>22</v>
      </c>
      <c r="I89" s="1854" t="s">
        <v>1068</v>
      </c>
    </row>
    <row customHeight="1" ht="11.25">
      <c r="A90" s="1854" t="s">
        <v>2542</v>
      </c>
      <c r="B90" s="1854" t="s">
        <v>16</v>
      </c>
      <c r="C90" s="1854" t="s">
        <v>2855</v>
      </c>
      <c r="D90" s="1854" t="s">
        <v>2856</v>
      </c>
      <c r="E90" s="1854" t="s">
        <v>2857</v>
      </c>
      <c r="F90" s="1854" t="s">
        <v>2858</v>
      </c>
      <c r="G90" s="1854" t="s">
        <v>22</v>
      </c>
      <c r="H90" s="1854" t="s">
        <v>22</v>
      </c>
      <c r="I90" s="1854" t="s">
        <v>1068</v>
      </c>
    </row>
    <row customHeight="1" ht="11.25">
      <c r="A91" s="1854" t="s">
        <v>2542</v>
      </c>
      <c r="B91" s="1854" t="s">
        <v>16</v>
      </c>
      <c r="C91" s="1854" t="s">
        <v>2859</v>
      </c>
      <c r="D91" s="1854" t="s">
        <v>2860</v>
      </c>
      <c r="E91" s="1854" t="s">
        <v>2861</v>
      </c>
      <c r="F91" s="1854" t="s">
        <v>2785</v>
      </c>
      <c r="G91" s="1854" t="s">
        <v>22</v>
      </c>
      <c r="H91" s="1854" t="s">
        <v>22</v>
      </c>
      <c r="I91" s="1854" t="s">
        <v>1068</v>
      </c>
    </row>
    <row customHeight="1" ht="11.25">
      <c r="A92" s="1854" t="s">
        <v>2542</v>
      </c>
      <c r="B92" s="1854" t="s">
        <v>16</v>
      </c>
      <c r="C92" s="1854" t="s">
        <v>2862</v>
      </c>
      <c r="D92" s="1854" t="s">
        <v>2863</v>
      </c>
      <c r="E92" s="1854" t="s">
        <v>2864</v>
      </c>
      <c r="F92" s="1854" t="s">
        <v>2785</v>
      </c>
      <c r="G92" s="1854" t="s">
        <v>22</v>
      </c>
      <c r="H92" s="1854" t="s">
        <v>22</v>
      </c>
      <c r="I92" s="1854" t="s">
        <v>1068</v>
      </c>
    </row>
    <row customHeight="1" ht="11.25">
      <c r="A93" s="1854" t="s">
        <v>2542</v>
      </c>
      <c r="B93" s="1854" t="s">
        <v>16</v>
      </c>
      <c r="C93" s="1854" t="s">
        <v>2865</v>
      </c>
      <c r="D93" s="1854" t="s">
        <v>2866</v>
      </c>
      <c r="E93" s="1854" t="s">
        <v>2867</v>
      </c>
      <c r="F93" s="1854" t="s">
        <v>2550</v>
      </c>
      <c r="G93" s="1854" t="s">
        <v>22</v>
      </c>
      <c r="H93" s="1854" t="s">
        <v>22</v>
      </c>
      <c r="I93" s="1854" t="s">
        <v>1068</v>
      </c>
    </row>
    <row customHeight="1" ht="11.25">
      <c r="A94" s="1854" t="s">
        <v>2542</v>
      </c>
      <c r="B94" s="1854" t="s">
        <v>16</v>
      </c>
      <c r="C94" s="1854" t="s">
        <v>2868</v>
      </c>
      <c r="D94" s="1854" t="s">
        <v>2869</v>
      </c>
      <c r="E94" s="1854" t="s">
        <v>2870</v>
      </c>
      <c r="F94" s="1854" t="s">
        <v>2828</v>
      </c>
      <c r="G94" s="1854" t="s">
        <v>22</v>
      </c>
      <c r="H94" s="1854" t="s">
        <v>22</v>
      </c>
      <c r="I94" s="1854" t="s">
        <v>1068</v>
      </c>
    </row>
    <row customHeight="1" ht="11.25">
      <c r="A95" s="1854" t="s">
        <v>2542</v>
      </c>
      <c r="B95" s="1854" t="s">
        <v>16</v>
      </c>
      <c r="C95" s="1854" t="s">
        <v>2871</v>
      </c>
      <c r="D95" s="1854" t="s">
        <v>2872</v>
      </c>
      <c r="E95" s="1854" t="s">
        <v>2873</v>
      </c>
      <c r="F95" s="1854" t="s">
        <v>2679</v>
      </c>
      <c r="G95" s="1854" t="s">
        <v>22</v>
      </c>
      <c r="H95" s="1854" t="s">
        <v>22</v>
      </c>
      <c r="I95" s="1854" t="s">
        <v>1068</v>
      </c>
    </row>
    <row customHeight="1" ht="11.25">
      <c r="A96" s="1854" t="s">
        <v>2542</v>
      </c>
      <c r="B96" s="1854" t="s">
        <v>16</v>
      </c>
      <c r="C96" s="1854" t="s">
        <v>2874</v>
      </c>
      <c r="D96" s="1854" t="s">
        <v>2875</v>
      </c>
      <c r="E96" s="1854" t="s">
        <v>2876</v>
      </c>
      <c r="F96" s="1854" t="s">
        <v>2679</v>
      </c>
      <c r="G96" s="1854" t="s">
        <v>22</v>
      </c>
      <c r="H96" s="1854" t="s">
        <v>22</v>
      </c>
      <c r="I96" s="1854" t="s">
        <v>1068</v>
      </c>
    </row>
    <row customHeight="1" ht="11.25">
      <c r="A97" s="1854" t="s">
        <v>2542</v>
      </c>
      <c r="B97" s="1854" t="s">
        <v>16</v>
      </c>
      <c r="C97" s="1854" t="s">
        <v>2877</v>
      </c>
      <c r="D97" s="1854" t="s">
        <v>2878</v>
      </c>
      <c r="E97" s="1854" t="s">
        <v>2879</v>
      </c>
      <c r="F97" s="1854" t="s">
        <v>2641</v>
      </c>
      <c r="G97" s="1854" t="s">
        <v>22</v>
      </c>
      <c r="H97" s="1854" t="s">
        <v>22</v>
      </c>
      <c r="I97" s="1854" t="s">
        <v>1068</v>
      </c>
    </row>
    <row customHeight="1" ht="11.25">
      <c r="A98" s="1854" t="s">
        <v>2542</v>
      </c>
      <c r="B98" s="1854" t="s">
        <v>16</v>
      </c>
      <c r="C98" s="1854" t="s">
        <v>2880</v>
      </c>
      <c r="D98" s="1854" t="s">
        <v>2881</v>
      </c>
      <c r="E98" s="1854" t="s">
        <v>2882</v>
      </c>
      <c r="F98" s="1854" t="s">
        <v>2767</v>
      </c>
      <c r="G98" s="1854" t="s">
        <v>22</v>
      </c>
      <c r="H98" s="1854" t="s">
        <v>22</v>
      </c>
      <c r="I98" s="1854" t="s">
        <v>1068</v>
      </c>
    </row>
    <row customHeight="1" ht="11.25">
      <c r="A99" s="1854" t="s">
        <v>2542</v>
      </c>
      <c r="B99" s="1854" t="s">
        <v>16</v>
      </c>
      <c r="C99" s="1854" t="s">
        <v>2883</v>
      </c>
      <c r="D99" s="1854" t="s">
        <v>2884</v>
      </c>
      <c r="E99" s="1854" t="s">
        <v>2885</v>
      </c>
      <c r="F99" s="1854" t="s">
        <v>2844</v>
      </c>
      <c r="G99" s="1854" t="s">
        <v>22</v>
      </c>
      <c r="H99" s="1854" t="s">
        <v>22</v>
      </c>
      <c r="I99" s="1854" t="s">
        <v>1068</v>
      </c>
    </row>
    <row customHeight="1" ht="11.25">
      <c r="A100" s="1854" t="s">
        <v>2542</v>
      </c>
      <c r="B100" s="1854" t="s">
        <v>16</v>
      </c>
      <c r="C100" s="1854" t="s">
        <v>2886</v>
      </c>
      <c r="D100" s="1854" t="s">
        <v>2887</v>
      </c>
      <c r="E100" s="1854" t="s">
        <v>2888</v>
      </c>
      <c r="F100" s="1854" t="s">
        <v>2828</v>
      </c>
      <c r="G100" s="1854" t="s">
        <v>22</v>
      </c>
      <c r="H100" s="1854" t="s">
        <v>22</v>
      </c>
      <c r="I100" s="1854" t="s">
        <v>1068</v>
      </c>
    </row>
    <row customHeight="1" ht="11.25">
      <c r="A101" s="1854" t="s">
        <v>2542</v>
      </c>
      <c r="B101" s="1854" t="s">
        <v>16</v>
      </c>
      <c r="C101" s="1854" t="s">
        <v>2889</v>
      </c>
      <c r="D101" s="1854" t="s">
        <v>2890</v>
      </c>
      <c r="E101" s="1854" t="s">
        <v>2891</v>
      </c>
      <c r="F101" s="1854" t="s">
        <v>595</v>
      </c>
      <c r="G101" s="1854" t="s">
        <v>22</v>
      </c>
      <c r="H101" s="1854" t="s">
        <v>22</v>
      </c>
      <c r="I101" s="1854" t="s">
        <v>1068</v>
      </c>
    </row>
    <row customHeight="1" ht="11.25">
      <c r="A102" s="1854" t="s">
        <v>2542</v>
      </c>
      <c r="B102" s="1854" t="s">
        <v>16</v>
      </c>
      <c r="C102" s="1854" t="s">
        <v>2892</v>
      </c>
      <c r="D102" s="1854" t="s">
        <v>2893</v>
      </c>
      <c r="E102" s="1854" t="s">
        <v>2894</v>
      </c>
      <c r="F102" s="1854" t="s">
        <v>595</v>
      </c>
      <c r="G102" s="1854" t="s">
        <v>22</v>
      </c>
      <c r="H102" s="1854" t="s">
        <v>22</v>
      </c>
      <c r="I102" s="1854" t="s">
        <v>1068</v>
      </c>
    </row>
    <row customHeight="1" ht="11.25">
      <c r="A103" s="1854" t="s">
        <v>2542</v>
      </c>
      <c r="B103" s="1854" t="s">
        <v>16</v>
      </c>
      <c r="C103" s="1854" t="s">
        <v>2895</v>
      </c>
      <c r="D103" s="1854" t="s">
        <v>2896</v>
      </c>
      <c r="E103" s="1854" t="s">
        <v>2897</v>
      </c>
      <c r="F103" s="1854" t="s">
        <v>595</v>
      </c>
      <c r="G103" s="1854" t="s">
        <v>22</v>
      </c>
      <c r="H103" s="1854" t="s">
        <v>22</v>
      </c>
      <c r="I103" s="1854" t="s">
        <v>1068</v>
      </c>
    </row>
    <row customHeight="1" ht="11.25">
      <c r="A104" s="1854" t="s">
        <v>2542</v>
      </c>
      <c r="B104" s="1854" t="s">
        <v>16</v>
      </c>
      <c r="C104" s="1854" t="s">
        <v>2898</v>
      </c>
      <c r="D104" s="1854" t="s">
        <v>2899</v>
      </c>
      <c r="E104" s="1854" t="s">
        <v>2900</v>
      </c>
      <c r="F104" s="1854" t="s">
        <v>595</v>
      </c>
      <c r="G104" s="1854" t="s">
        <v>22</v>
      </c>
      <c r="H104" s="1854" t="s">
        <v>22</v>
      </c>
      <c r="I104" s="1854" t="s">
        <v>1068</v>
      </c>
    </row>
    <row customHeight="1" ht="11.25">
      <c r="A105" s="1854" t="s">
        <v>2542</v>
      </c>
      <c r="B105" s="1854" t="s">
        <v>16</v>
      </c>
      <c r="C105" s="1854" t="s">
        <v>2901</v>
      </c>
      <c r="D105" s="1854" t="s">
        <v>2902</v>
      </c>
      <c r="E105" s="1854" t="s">
        <v>2903</v>
      </c>
      <c r="F105" s="1854" t="s">
        <v>595</v>
      </c>
      <c r="G105" s="1854" t="s">
        <v>22</v>
      </c>
      <c r="H105" s="1854" t="s">
        <v>22</v>
      </c>
      <c r="I105" s="1854" t="s">
        <v>1068</v>
      </c>
    </row>
    <row customHeight="1" ht="11.25">
      <c r="A106" s="1854" t="s">
        <v>2542</v>
      </c>
      <c r="B106" s="1854" t="s">
        <v>16</v>
      </c>
      <c r="C106" s="1854" t="s">
        <v>2904</v>
      </c>
      <c r="D106" s="1854" t="s">
        <v>2905</v>
      </c>
      <c r="E106" s="1854" t="s">
        <v>2906</v>
      </c>
      <c r="F106" s="1854" t="s">
        <v>2907</v>
      </c>
      <c r="G106" s="1854" t="s">
        <v>22</v>
      </c>
      <c r="H106" s="1854" t="s">
        <v>22</v>
      </c>
      <c r="I106" s="1854" t="s">
        <v>1068</v>
      </c>
    </row>
    <row customHeight="1" ht="11.25">
      <c r="A107" s="1854" t="s">
        <v>2542</v>
      </c>
      <c r="B107" s="1854" t="s">
        <v>16</v>
      </c>
      <c r="C107" s="1854" t="s">
        <v>2908</v>
      </c>
      <c r="D107" s="1854" t="s">
        <v>2909</v>
      </c>
      <c r="E107" s="1854" t="s">
        <v>2789</v>
      </c>
      <c r="F107" s="1854" t="s">
        <v>2910</v>
      </c>
      <c r="G107" s="1854" t="s">
        <v>22</v>
      </c>
      <c r="H107" s="1854" t="s">
        <v>22</v>
      </c>
      <c r="I107" s="1854" t="s">
        <v>1068</v>
      </c>
    </row>
    <row customHeight="1" ht="11.25">
      <c r="A108" s="1854" t="s">
        <v>2542</v>
      </c>
      <c r="B108" s="1854" t="s">
        <v>16</v>
      </c>
      <c r="C108" s="1854" t="s">
        <v>2911</v>
      </c>
      <c r="D108" s="1854" t="s">
        <v>2912</v>
      </c>
      <c r="E108" s="1854" t="s">
        <v>2913</v>
      </c>
      <c r="F108" s="1854" t="s">
        <v>2743</v>
      </c>
      <c r="G108" s="1854" t="s">
        <v>22</v>
      </c>
      <c r="H108" s="1854" t="s">
        <v>22</v>
      </c>
      <c r="I108" s="1854" t="s">
        <v>1068</v>
      </c>
    </row>
    <row customHeight="1" ht="11.25">
      <c r="A109" s="1854" t="s">
        <v>2542</v>
      </c>
      <c r="B109" s="1854" t="s">
        <v>16</v>
      </c>
      <c r="C109" s="1854" t="s">
        <v>2914</v>
      </c>
      <c r="D109" s="1854" t="s">
        <v>2915</v>
      </c>
      <c r="E109" s="1854" t="s">
        <v>2916</v>
      </c>
      <c r="F109" s="1854" t="s">
        <v>2917</v>
      </c>
      <c r="G109" s="1854" t="s">
        <v>22</v>
      </c>
      <c r="H109" s="1854" t="s">
        <v>22</v>
      </c>
      <c r="I109" s="1854" t="s">
        <v>1068</v>
      </c>
    </row>
    <row customHeight="1" ht="11.25">
      <c r="A110" s="1854" t="s">
        <v>2542</v>
      </c>
      <c r="B110" s="1854" t="s">
        <v>16</v>
      </c>
      <c r="C110" s="1854" t="s">
        <v>2918</v>
      </c>
      <c r="D110" s="1854" t="s">
        <v>2919</v>
      </c>
      <c r="E110" s="1854" t="s">
        <v>2920</v>
      </c>
      <c r="F110" s="1854" t="s">
        <v>2921</v>
      </c>
      <c r="G110" s="1854" t="s">
        <v>22</v>
      </c>
      <c r="H110" s="1854" t="s">
        <v>22</v>
      </c>
      <c r="I110" s="1854" t="s">
        <v>1068</v>
      </c>
    </row>
    <row customHeight="1" ht="11.25">
      <c r="A111" s="1854" t="s">
        <v>2542</v>
      </c>
      <c r="B111" s="1854" t="s">
        <v>16</v>
      </c>
      <c r="C111" s="1854" t="s">
        <v>2922</v>
      </c>
      <c r="D111" s="1854" t="s">
        <v>2923</v>
      </c>
      <c r="E111" s="1854" t="s">
        <v>2924</v>
      </c>
      <c r="F111" s="1854" t="s">
        <v>2925</v>
      </c>
      <c r="G111" s="1854" t="s">
        <v>2926</v>
      </c>
      <c r="H111" s="1854" t="s">
        <v>22</v>
      </c>
      <c r="I111" s="1854" t="s">
        <v>1068</v>
      </c>
    </row>
    <row customHeight="1" ht="11.25">
      <c r="A112" s="1854" t="s">
        <v>2542</v>
      </c>
      <c r="B112" s="1854" t="s">
        <v>16</v>
      </c>
      <c r="C112" s="1854" t="s">
        <v>2927</v>
      </c>
      <c r="D112" s="1854" t="s">
        <v>2928</v>
      </c>
      <c r="E112" s="1854" t="s">
        <v>2929</v>
      </c>
      <c r="F112" s="1854" t="s">
        <v>2921</v>
      </c>
      <c r="G112" s="1854" t="s">
        <v>22</v>
      </c>
      <c r="H112" s="1854" t="s">
        <v>22</v>
      </c>
      <c r="I112" s="1854" t="s">
        <v>1068</v>
      </c>
    </row>
    <row customHeight="1" ht="11.25">
      <c r="A113" s="1854" t="s">
        <v>2542</v>
      </c>
      <c r="B113" s="1854" t="s">
        <v>16</v>
      </c>
      <c r="C113" s="1854" t="s">
        <v>2930</v>
      </c>
      <c r="D113" s="1854" t="s">
        <v>2931</v>
      </c>
      <c r="E113" s="1854" t="s">
        <v>2932</v>
      </c>
      <c r="F113" s="1854" t="s">
        <v>2933</v>
      </c>
      <c r="G113" s="1854" t="s">
        <v>22</v>
      </c>
      <c r="H113" s="1854" t="s">
        <v>22</v>
      </c>
      <c r="I113" s="1854" t="s">
        <v>1068</v>
      </c>
    </row>
    <row customHeight="1" ht="11.25">
      <c r="A114" s="1854" t="s">
        <v>2542</v>
      </c>
      <c r="B114" s="1854" t="s">
        <v>16</v>
      </c>
      <c r="C114" s="1854" t="s">
        <v>2934</v>
      </c>
      <c r="D114" s="1854" t="s">
        <v>2935</v>
      </c>
      <c r="E114" s="1854" t="s">
        <v>2936</v>
      </c>
      <c r="F114" s="1854" t="s">
        <v>2917</v>
      </c>
      <c r="G114" s="1854" t="s">
        <v>22</v>
      </c>
      <c r="H114" s="1854" t="s">
        <v>22</v>
      </c>
      <c r="I114" s="1854" t="s">
        <v>1068</v>
      </c>
    </row>
    <row customHeight="1" ht="11.25">
      <c r="A115" s="1854" t="s">
        <v>2542</v>
      </c>
      <c r="B115" s="1854" t="s">
        <v>16</v>
      </c>
      <c r="C115" s="1854" t="s">
        <v>2937</v>
      </c>
      <c r="D115" s="1854" t="s">
        <v>2938</v>
      </c>
      <c r="E115" s="1854" t="s">
        <v>2939</v>
      </c>
      <c r="F115" s="1854" t="s">
        <v>2940</v>
      </c>
      <c r="G115" s="1854" t="s">
        <v>22</v>
      </c>
      <c r="H115" s="1854" t="s">
        <v>22</v>
      </c>
      <c r="I115" s="1854" t="s">
        <v>1068</v>
      </c>
    </row>
    <row customHeight="1" ht="11.25">
      <c r="A116" s="1854" t="s">
        <v>2542</v>
      </c>
      <c r="B116" s="1854" t="s">
        <v>16</v>
      </c>
      <c r="C116" s="1854" t="s">
        <v>2941</v>
      </c>
      <c r="D116" s="1854" t="s">
        <v>2942</v>
      </c>
      <c r="E116" s="1854" t="s">
        <v>2943</v>
      </c>
      <c r="F116" s="1854" t="s">
        <v>2743</v>
      </c>
      <c r="G116" s="1854" t="s">
        <v>22</v>
      </c>
      <c r="H116" s="1854" t="s">
        <v>22</v>
      </c>
      <c r="I116" s="1854" t="s">
        <v>1068</v>
      </c>
    </row>
    <row customHeight="1" ht="11.25">
      <c r="A117" s="1854" t="s">
        <v>2542</v>
      </c>
      <c r="B117" s="1854" t="s">
        <v>16</v>
      </c>
      <c r="C117" s="1854" t="s">
        <v>2944</v>
      </c>
      <c r="D117" s="1854" t="s">
        <v>2945</v>
      </c>
      <c r="E117" s="1854" t="s">
        <v>2946</v>
      </c>
      <c r="F117" s="1854" t="s">
        <v>2669</v>
      </c>
      <c r="G117" s="1854" t="s">
        <v>22</v>
      </c>
      <c r="H117" s="1854" t="s">
        <v>22</v>
      </c>
      <c r="I117" s="1854" t="s">
        <v>1068</v>
      </c>
    </row>
    <row customHeight="1" ht="11.25">
      <c r="A118" s="1854" t="s">
        <v>2542</v>
      </c>
      <c r="B118" s="1854" t="s">
        <v>16</v>
      </c>
      <c r="C118" s="1854" t="s">
        <v>2947</v>
      </c>
      <c r="D118" s="1854" t="s">
        <v>2948</v>
      </c>
      <c r="E118" s="1854" t="s">
        <v>2949</v>
      </c>
      <c r="F118" s="1854" t="s">
        <v>2743</v>
      </c>
      <c r="G118" s="1854" t="s">
        <v>22</v>
      </c>
      <c r="H118" s="1854" t="s">
        <v>22</v>
      </c>
      <c r="I118" s="1854" t="s">
        <v>1068</v>
      </c>
    </row>
    <row customHeight="1" ht="11.25">
      <c r="A119" s="1854" t="s">
        <v>2542</v>
      </c>
      <c r="B119" s="1854" t="s">
        <v>16</v>
      </c>
      <c r="C119" s="1854" t="s">
        <v>2950</v>
      </c>
      <c r="D119" s="1854" t="s">
        <v>2951</v>
      </c>
      <c r="E119" s="1854" t="s">
        <v>2952</v>
      </c>
      <c r="F119" s="1854" t="s">
        <v>2953</v>
      </c>
      <c r="G119" s="1854" t="s">
        <v>22</v>
      </c>
      <c r="H119" s="1854" t="s">
        <v>22</v>
      </c>
      <c r="I119" s="1854" t="s">
        <v>1068</v>
      </c>
    </row>
    <row customHeight="1" ht="11.25">
      <c r="A120" s="1854" t="s">
        <v>2542</v>
      </c>
      <c r="B120" s="1854" t="s">
        <v>16</v>
      </c>
      <c r="C120" s="1854" t="s">
        <v>2954</v>
      </c>
      <c r="D120" s="1854" t="s">
        <v>2955</v>
      </c>
      <c r="E120" s="1854" t="s">
        <v>2956</v>
      </c>
      <c r="F120" s="1854" t="s">
        <v>2573</v>
      </c>
      <c r="G120" s="1854" t="s">
        <v>22</v>
      </c>
      <c r="H120" s="1854" t="s">
        <v>22</v>
      </c>
      <c r="I120" s="1854" t="s">
        <v>1068</v>
      </c>
    </row>
    <row customHeight="1" ht="11.25">
      <c r="A121" s="1854" t="s">
        <v>2542</v>
      </c>
      <c r="B121" s="1854" t="s">
        <v>16</v>
      </c>
      <c r="C121" s="1854" t="s">
        <v>2957</v>
      </c>
      <c r="D121" s="1854" t="s">
        <v>2958</v>
      </c>
      <c r="E121" s="1854" t="s">
        <v>2959</v>
      </c>
      <c r="F121" s="1854" t="s">
        <v>2751</v>
      </c>
      <c r="G121" s="1854" t="s">
        <v>22</v>
      </c>
      <c r="H121" s="1854" t="s">
        <v>22</v>
      </c>
      <c r="I121" s="1854" t="s">
        <v>1068</v>
      </c>
    </row>
    <row customHeight="1" ht="11.25">
      <c r="A122" s="1854" t="s">
        <v>2542</v>
      </c>
      <c r="B122" s="1854" t="s">
        <v>16</v>
      </c>
      <c r="C122" s="1854" t="s">
        <v>2960</v>
      </c>
      <c r="D122" s="1854" t="s">
        <v>2961</v>
      </c>
      <c r="E122" s="1854" t="s">
        <v>2962</v>
      </c>
      <c r="F122" s="1854" t="s">
        <v>2953</v>
      </c>
      <c r="G122" s="1854" t="s">
        <v>22</v>
      </c>
      <c r="H122" s="1854" t="s">
        <v>22</v>
      </c>
      <c r="I122" s="1854" t="s">
        <v>1068</v>
      </c>
    </row>
    <row customHeight="1" ht="11.25">
      <c r="A123" s="1854" t="s">
        <v>2542</v>
      </c>
      <c r="B123" s="1854" t="s">
        <v>16</v>
      </c>
      <c r="C123" s="1854" t="s">
        <v>2963</v>
      </c>
      <c r="D123" s="1854" t="s">
        <v>2964</v>
      </c>
      <c r="E123" s="1854" t="s">
        <v>2965</v>
      </c>
      <c r="F123" s="1854" t="s">
        <v>2966</v>
      </c>
      <c r="G123" s="1854" t="s">
        <v>22</v>
      </c>
      <c r="H123" s="1854" t="s">
        <v>22</v>
      </c>
      <c r="I123" s="1854" t="s">
        <v>1068</v>
      </c>
    </row>
    <row customHeight="1" ht="11.25">
      <c r="A124" s="1854" t="s">
        <v>2542</v>
      </c>
      <c r="B124" s="1854" t="s">
        <v>16</v>
      </c>
      <c r="C124" s="1854" t="s">
        <v>2967</v>
      </c>
      <c r="D124" s="1854" t="s">
        <v>2968</v>
      </c>
      <c r="E124" s="1854" t="s">
        <v>2969</v>
      </c>
      <c r="F124" s="1854" t="s">
        <v>2606</v>
      </c>
      <c r="G124" s="1854" t="s">
        <v>22</v>
      </c>
      <c r="H124" s="1854" t="s">
        <v>22</v>
      </c>
      <c r="I124" s="1854" t="s">
        <v>1068</v>
      </c>
    </row>
    <row customHeight="1" ht="11.25">
      <c r="A125" s="1854" t="s">
        <v>2542</v>
      </c>
      <c r="B125" s="1854" t="s">
        <v>16</v>
      </c>
      <c r="C125" s="1854" t="s">
        <v>2970</v>
      </c>
      <c r="D125" s="1854" t="s">
        <v>2971</v>
      </c>
      <c r="E125" s="1854" t="s">
        <v>2972</v>
      </c>
      <c r="F125" s="1854" t="s">
        <v>2973</v>
      </c>
      <c r="G125" s="1854" t="s">
        <v>2974</v>
      </c>
      <c r="H125" s="1854" t="s">
        <v>22</v>
      </c>
      <c r="I125" s="1854" t="s">
        <v>1068</v>
      </c>
    </row>
    <row customHeight="1" ht="11.25">
      <c r="A126" s="1854" t="s">
        <v>2542</v>
      </c>
      <c r="B126" s="1854" t="s">
        <v>16</v>
      </c>
      <c r="C126" s="1854" t="s">
        <v>2975</v>
      </c>
      <c r="D126" s="1854" t="s">
        <v>2976</v>
      </c>
      <c r="E126" s="1854" t="s">
        <v>2977</v>
      </c>
      <c r="F126" s="1854" t="s">
        <v>2546</v>
      </c>
      <c r="G126" s="1854" t="s">
        <v>22</v>
      </c>
      <c r="H126" s="1854" t="s">
        <v>22</v>
      </c>
      <c r="I126" s="1854" t="s">
        <v>1068</v>
      </c>
    </row>
    <row customHeight="1" ht="11.25">
      <c r="A127" s="1854" t="s">
        <v>2542</v>
      </c>
      <c r="B127" s="1854" t="s">
        <v>16</v>
      </c>
      <c r="C127" s="1854" t="s">
        <v>2978</v>
      </c>
      <c r="D127" s="1854" t="s">
        <v>2979</v>
      </c>
      <c r="E127" s="1854" t="s">
        <v>2980</v>
      </c>
      <c r="F127" s="1854" t="s">
        <v>2641</v>
      </c>
      <c r="G127" s="1854" t="s">
        <v>22</v>
      </c>
      <c r="H127" s="1854" t="s">
        <v>22</v>
      </c>
      <c r="I127" s="1854" t="s">
        <v>1068</v>
      </c>
    </row>
    <row customHeight="1" ht="11.25">
      <c r="A128" s="1854" t="s">
        <v>2542</v>
      </c>
      <c r="B128" s="1854" t="s">
        <v>16</v>
      </c>
      <c r="C128" s="1854" t="s">
        <v>2981</v>
      </c>
      <c r="D128" s="1854" t="s">
        <v>2982</v>
      </c>
      <c r="E128" s="1854" t="s">
        <v>2983</v>
      </c>
      <c r="F128" s="1854" t="s">
        <v>2984</v>
      </c>
      <c r="G128" s="1854" t="s">
        <v>22</v>
      </c>
      <c r="H128" s="1854" t="s">
        <v>22</v>
      </c>
      <c r="I128" s="1854" t="s">
        <v>1068</v>
      </c>
    </row>
    <row customHeight="1" ht="11.25">
      <c r="A129" s="1854" t="s">
        <v>2542</v>
      </c>
      <c r="B129" s="1854" t="s">
        <v>16</v>
      </c>
      <c r="C129" s="1854" t="s">
        <v>2985</v>
      </c>
      <c r="D129" s="1854" t="s">
        <v>2986</v>
      </c>
      <c r="E129" s="1854" t="s">
        <v>2987</v>
      </c>
      <c r="F129" s="1854" t="s">
        <v>2591</v>
      </c>
      <c r="G129" s="1854" t="s">
        <v>22</v>
      </c>
      <c r="H129" s="1854" t="s">
        <v>22</v>
      </c>
      <c r="I129" s="1854" t="s">
        <v>1068</v>
      </c>
    </row>
    <row customHeight="1" ht="11.25">
      <c r="A130" s="1854" t="s">
        <v>2542</v>
      </c>
      <c r="B130" s="1854" t="s">
        <v>16</v>
      </c>
      <c r="C130" s="1854" t="s">
        <v>2988</v>
      </c>
      <c r="D130" s="1854" t="s">
        <v>2989</v>
      </c>
      <c r="E130" s="1854" t="s">
        <v>2990</v>
      </c>
      <c r="F130" s="1854" t="s">
        <v>2991</v>
      </c>
      <c r="G130" s="1854" t="s">
        <v>22</v>
      </c>
      <c r="H130" s="1854" t="s">
        <v>22</v>
      </c>
      <c r="I130" s="1854" t="s">
        <v>1068</v>
      </c>
    </row>
    <row customHeight="1" ht="11.25">
      <c r="A131" s="1854" t="s">
        <v>2542</v>
      </c>
      <c r="B131" s="1854" t="s">
        <v>16</v>
      </c>
      <c r="C131" s="1854" t="s">
        <v>2992</v>
      </c>
      <c r="D131" s="1854" t="s">
        <v>2993</v>
      </c>
      <c r="E131" s="1854" t="s">
        <v>2994</v>
      </c>
      <c r="F131" s="1854" t="s">
        <v>2995</v>
      </c>
      <c r="G131" s="1854" t="s">
        <v>22</v>
      </c>
      <c r="H131" s="1854" t="s">
        <v>22</v>
      </c>
      <c r="I131" s="1854" t="s">
        <v>1068</v>
      </c>
    </row>
    <row customHeight="1" ht="11.25">
      <c r="A132" s="1854" t="s">
        <v>2542</v>
      </c>
      <c r="B132" s="1854" t="s">
        <v>16</v>
      </c>
      <c r="C132" s="1854" t="s">
        <v>2996</v>
      </c>
      <c r="D132" s="1854" t="s">
        <v>2997</v>
      </c>
      <c r="E132" s="1854" t="s">
        <v>2998</v>
      </c>
      <c r="F132" s="1854" t="s">
        <v>2999</v>
      </c>
      <c r="G132" s="1854" t="s">
        <v>22</v>
      </c>
      <c r="H132" s="1854" t="s">
        <v>22</v>
      </c>
      <c r="I132" s="1854" t="s">
        <v>1068</v>
      </c>
    </row>
    <row customHeight="1" ht="11.25">
      <c r="A133" s="1854" t="s">
        <v>2542</v>
      </c>
      <c r="B133" s="1854" t="s">
        <v>16</v>
      </c>
      <c r="C133" s="1854" t="s">
        <v>3000</v>
      </c>
      <c r="D133" s="1854" t="s">
        <v>3001</v>
      </c>
      <c r="E133" s="1854" t="s">
        <v>3002</v>
      </c>
      <c r="F133" s="1854" t="s">
        <v>2813</v>
      </c>
      <c r="G133" s="1854" t="s">
        <v>22</v>
      </c>
      <c r="H133" s="1854" t="s">
        <v>22</v>
      </c>
      <c r="I133" s="1854" t="s">
        <v>1068</v>
      </c>
    </row>
    <row customHeight="1" ht="11.25">
      <c r="A134" s="1854" t="s">
        <v>2542</v>
      </c>
      <c r="B134" s="1854" t="s">
        <v>16</v>
      </c>
      <c r="C134" s="1854" t="s">
        <v>3003</v>
      </c>
      <c r="D134" s="1854" t="s">
        <v>3004</v>
      </c>
      <c r="E134" s="1854" t="s">
        <v>3005</v>
      </c>
      <c r="F134" s="1854" t="s">
        <v>2610</v>
      </c>
      <c r="G134" s="1854" t="s">
        <v>22</v>
      </c>
      <c r="H134" s="1854" t="s">
        <v>22</v>
      </c>
      <c r="I134" s="1854" t="s">
        <v>1068</v>
      </c>
    </row>
    <row customHeight="1" ht="11.25">
      <c r="A135" s="1854" t="s">
        <v>2542</v>
      </c>
      <c r="B135" s="1854" t="s">
        <v>16</v>
      </c>
      <c r="C135" s="1854" t="s">
        <v>3006</v>
      </c>
      <c r="D135" s="1854" t="s">
        <v>3007</v>
      </c>
      <c r="E135" s="1854" t="s">
        <v>3008</v>
      </c>
      <c r="F135" s="1854" t="s">
        <v>2817</v>
      </c>
      <c r="G135" s="1854" t="s">
        <v>22</v>
      </c>
      <c r="H135" s="1854" t="s">
        <v>22</v>
      </c>
      <c r="I135" s="1854" t="s">
        <v>1068</v>
      </c>
    </row>
    <row customHeight="1" ht="11.25">
      <c r="A136" s="1854" t="s">
        <v>2542</v>
      </c>
      <c r="B136" s="1854" t="s">
        <v>16</v>
      </c>
      <c r="C136" s="1854" t="s">
        <v>3009</v>
      </c>
      <c r="D136" s="1854" t="s">
        <v>3010</v>
      </c>
      <c r="E136" s="1854" t="s">
        <v>3011</v>
      </c>
      <c r="F136" s="1854" t="s">
        <v>2606</v>
      </c>
      <c r="G136" s="1854" t="s">
        <v>22</v>
      </c>
      <c r="H136" s="1854" t="s">
        <v>22</v>
      </c>
      <c r="I136" s="1854" t="s">
        <v>1068</v>
      </c>
    </row>
    <row customHeight="1" ht="11.25">
      <c r="A137" s="1854" t="s">
        <v>2542</v>
      </c>
      <c r="B137" s="1854" t="s">
        <v>16</v>
      </c>
      <c r="C137" s="1854" t="s">
        <v>3012</v>
      </c>
      <c r="D137" s="1854" t="s">
        <v>3013</v>
      </c>
      <c r="E137" s="1854" t="s">
        <v>3014</v>
      </c>
      <c r="F137" s="1854" t="s">
        <v>2991</v>
      </c>
      <c r="G137" s="1854" t="s">
        <v>22</v>
      </c>
      <c r="H137" s="1854" t="s">
        <v>22</v>
      </c>
      <c r="I137" s="1854" t="s">
        <v>1068</v>
      </c>
    </row>
    <row customHeight="1" ht="11.25">
      <c r="A138" s="1854" t="s">
        <v>2542</v>
      </c>
      <c r="B138" s="1854" t="s">
        <v>16</v>
      </c>
      <c r="C138" s="1854" t="s">
        <v>3015</v>
      </c>
      <c r="D138" s="1854" t="s">
        <v>3016</v>
      </c>
      <c r="E138" s="1854" t="s">
        <v>3017</v>
      </c>
      <c r="F138" s="1854" t="s">
        <v>2821</v>
      </c>
      <c r="G138" s="1854" t="s">
        <v>22</v>
      </c>
      <c r="H138" s="1854" t="s">
        <v>22</v>
      </c>
      <c r="I138" s="1854" t="s">
        <v>1068</v>
      </c>
    </row>
    <row customHeight="1" ht="11.25">
      <c r="A139" s="1854" t="s">
        <v>2542</v>
      </c>
      <c r="B139" s="1854" t="s">
        <v>16</v>
      </c>
      <c r="C139" s="1854" t="s">
        <v>3018</v>
      </c>
      <c r="D139" s="1854" t="s">
        <v>3019</v>
      </c>
      <c r="E139" s="1854" t="s">
        <v>3020</v>
      </c>
      <c r="F139" s="1854" t="s">
        <v>2973</v>
      </c>
      <c r="G139" s="1854" t="s">
        <v>22</v>
      </c>
      <c r="H139" s="1854" t="s">
        <v>22</v>
      </c>
      <c r="I139" s="1854" t="s">
        <v>1068</v>
      </c>
    </row>
    <row customHeight="1" ht="11.25">
      <c r="A140" s="1854" t="s">
        <v>2542</v>
      </c>
      <c r="B140" s="1854" t="s">
        <v>16</v>
      </c>
      <c r="C140" s="1854" t="s">
        <v>3021</v>
      </c>
      <c r="D140" s="1854" t="s">
        <v>3022</v>
      </c>
      <c r="E140" s="1854" t="s">
        <v>3023</v>
      </c>
      <c r="F140" s="1854" t="s">
        <v>2973</v>
      </c>
      <c r="G140" s="1854" t="s">
        <v>22</v>
      </c>
      <c r="H140" s="1854" t="s">
        <v>22</v>
      </c>
      <c r="I140" s="1854" t="s">
        <v>1068</v>
      </c>
    </row>
    <row customHeight="1" ht="11.25">
      <c r="A141" s="1854" t="s">
        <v>2542</v>
      </c>
      <c r="B141" s="1854" t="s">
        <v>16</v>
      </c>
      <c r="C141" s="1854" t="s">
        <v>3024</v>
      </c>
      <c r="D141" s="1854" t="s">
        <v>3025</v>
      </c>
      <c r="E141" s="1854" t="s">
        <v>3026</v>
      </c>
      <c r="F141" s="1854" t="s">
        <v>2973</v>
      </c>
      <c r="G141" s="1854" t="s">
        <v>22</v>
      </c>
      <c r="H141" s="1854" t="s">
        <v>22</v>
      </c>
      <c r="I141" s="1854" t="s">
        <v>1068</v>
      </c>
    </row>
    <row customHeight="1" ht="11.25">
      <c r="A142" s="1854" t="s">
        <v>2542</v>
      </c>
      <c r="B142" s="1854" t="s">
        <v>16</v>
      </c>
      <c r="C142" s="1854" t="s">
        <v>3027</v>
      </c>
      <c r="D142" s="1854" t="s">
        <v>3028</v>
      </c>
      <c r="E142" s="1854" t="s">
        <v>3029</v>
      </c>
      <c r="F142" s="1854" t="s">
        <v>2973</v>
      </c>
      <c r="G142" s="1854" t="s">
        <v>22</v>
      </c>
      <c r="H142" s="1854" t="s">
        <v>22</v>
      </c>
      <c r="I142" s="1854" t="s">
        <v>1068</v>
      </c>
    </row>
    <row customHeight="1" ht="11.25">
      <c r="A143" s="1854" t="s">
        <v>2542</v>
      </c>
      <c r="B143" s="1854" t="s">
        <v>16</v>
      </c>
      <c r="C143" s="1854" t="s">
        <v>3030</v>
      </c>
      <c r="D143" s="1854" t="s">
        <v>3031</v>
      </c>
      <c r="E143" s="1854" t="s">
        <v>3032</v>
      </c>
      <c r="F143" s="1854" t="s">
        <v>2973</v>
      </c>
      <c r="G143" s="1854" t="s">
        <v>22</v>
      </c>
      <c r="H143" s="1854" t="s">
        <v>22</v>
      </c>
      <c r="I143" s="1854" t="s">
        <v>1068</v>
      </c>
    </row>
    <row customHeight="1" ht="11.25">
      <c r="A144" s="1854" t="s">
        <v>2542</v>
      </c>
      <c r="B144" s="1854" t="s">
        <v>16</v>
      </c>
      <c r="C144" s="1854" t="s">
        <v>3033</v>
      </c>
      <c r="D144" s="1854" t="s">
        <v>3034</v>
      </c>
      <c r="E144" s="1854" t="s">
        <v>3035</v>
      </c>
      <c r="F144" s="1854" t="s">
        <v>2973</v>
      </c>
      <c r="G144" s="1854" t="s">
        <v>22</v>
      </c>
      <c r="H144" s="1854" t="s">
        <v>22</v>
      </c>
      <c r="I144" s="1854" t="s">
        <v>1068</v>
      </c>
    </row>
    <row customHeight="1" ht="11.25">
      <c r="A145" s="1854" t="s">
        <v>2542</v>
      </c>
      <c r="B145" s="1854" t="s">
        <v>16</v>
      </c>
      <c r="C145" s="1854" t="s">
        <v>3036</v>
      </c>
      <c r="D145" s="1854" t="s">
        <v>3037</v>
      </c>
      <c r="E145" s="1854" t="s">
        <v>3038</v>
      </c>
      <c r="F145" s="1854" t="s">
        <v>2641</v>
      </c>
      <c r="G145" s="1854" t="s">
        <v>22</v>
      </c>
      <c r="H145" s="1854" t="s">
        <v>22</v>
      </c>
      <c r="I145" s="1854" t="s">
        <v>1068</v>
      </c>
    </row>
    <row customHeight="1" ht="11.25">
      <c r="A146" s="1854" t="s">
        <v>2542</v>
      </c>
      <c r="B146" s="1854" t="s">
        <v>16</v>
      </c>
      <c r="C146" s="1854" t="s">
        <v>3039</v>
      </c>
      <c r="D146" s="1854" t="s">
        <v>3040</v>
      </c>
      <c r="E146" s="1854" t="s">
        <v>3041</v>
      </c>
      <c r="F146" s="1854" t="s">
        <v>2973</v>
      </c>
      <c r="G146" s="1854" t="s">
        <v>22</v>
      </c>
      <c r="H146" s="1854" t="s">
        <v>22</v>
      </c>
      <c r="I146" s="1854" t="s">
        <v>1068</v>
      </c>
    </row>
    <row customHeight="1" ht="11.25">
      <c r="A147" s="1854" t="s">
        <v>2542</v>
      </c>
      <c r="B147" s="1854" t="s">
        <v>16</v>
      </c>
      <c r="C147" s="1854" t="s">
        <v>3042</v>
      </c>
      <c r="D147" s="1854" t="s">
        <v>3043</v>
      </c>
      <c r="E147" s="1854" t="s">
        <v>3044</v>
      </c>
      <c r="F147" s="1854" t="s">
        <v>3045</v>
      </c>
      <c r="G147" s="1854" t="s">
        <v>22</v>
      </c>
      <c r="H147" s="1854" t="s">
        <v>22</v>
      </c>
      <c r="I147" s="1854" t="s">
        <v>1068</v>
      </c>
    </row>
    <row customHeight="1" ht="11.25">
      <c r="A148" s="1854" t="s">
        <v>2542</v>
      </c>
      <c r="B148" s="1854" t="s">
        <v>16</v>
      </c>
      <c r="C148" s="1854" t="s">
        <v>3046</v>
      </c>
      <c r="D148" s="1854" t="s">
        <v>3047</v>
      </c>
      <c r="E148" s="1854" t="s">
        <v>3048</v>
      </c>
      <c r="F148" s="1854" t="s">
        <v>2973</v>
      </c>
      <c r="G148" s="1854" t="s">
        <v>22</v>
      </c>
      <c r="H148" s="1854" t="s">
        <v>22</v>
      </c>
      <c r="I148" s="1854" t="s">
        <v>1068</v>
      </c>
    </row>
    <row customHeight="1" ht="11.25">
      <c r="A149" s="1854" t="s">
        <v>2542</v>
      </c>
      <c r="B149" s="1854" t="s">
        <v>16</v>
      </c>
      <c r="C149" s="1854" t="s">
        <v>3049</v>
      </c>
      <c r="D149" s="1854" t="s">
        <v>3050</v>
      </c>
      <c r="E149" s="1854" t="s">
        <v>3051</v>
      </c>
      <c r="F149" s="1854" t="s">
        <v>3052</v>
      </c>
      <c r="G149" s="1854" t="s">
        <v>22</v>
      </c>
      <c r="H149" s="1854" t="s">
        <v>22</v>
      </c>
      <c r="I149" s="1854" t="s">
        <v>1068</v>
      </c>
    </row>
    <row customHeight="1" ht="11.25">
      <c r="A150" s="1854" t="s">
        <v>2542</v>
      </c>
      <c r="B150" s="1854" t="s">
        <v>16</v>
      </c>
      <c r="C150" s="1854" t="s">
        <v>3053</v>
      </c>
      <c r="D150" s="1854" t="s">
        <v>3054</v>
      </c>
      <c r="E150" s="1854" t="s">
        <v>3055</v>
      </c>
      <c r="F150" s="1854" t="s">
        <v>2794</v>
      </c>
      <c r="G150" s="1854" t="s">
        <v>22</v>
      </c>
      <c r="H150" s="1854" t="s">
        <v>22</v>
      </c>
      <c r="I150" s="1854" t="s">
        <v>1068</v>
      </c>
    </row>
    <row customHeight="1" ht="11.25">
      <c r="A151" s="1854" t="s">
        <v>2542</v>
      </c>
      <c r="B151" s="1854" t="s">
        <v>16</v>
      </c>
      <c r="C151" s="1854" t="s">
        <v>3056</v>
      </c>
      <c r="D151" s="1854" t="s">
        <v>3057</v>
      </c>
      <c r="E151" s="1854" t="s">
        <v>3058</v>
      </c>
      <c r="F151" s="1854" t="s">
        <v>2817</v>
      </c>
      <c r="G151" s="1854" t="s">
        <v>22</v>
      </c>
      <c r="H151" s="1854" t="s">
        <v>22</v>
      </c>
      <c r="I151" s="1854" t="s">
        <v>1068</v>
      </c>
    </row>
    <row customHeight="1" ht="11.25">
      <c r="A152" s="1854" t="s">
        <v>2542</v>
      </c>
      <c r="B152" s="1854" t="s">
        <v>16</v>
      </c>
      <c r="C152" s="1854" t="s">
        <v>3059</v>
      </c>
      <c r="D152" s="1854" t="s">
        <v>3060</v>
      </c>
      <c r="E152" s="1854" t="s">
        <v>3061</v>
      </c>
      <c r="F152" s="1854" t="s">
        <v>2591</v>
      </c>
      <c r="G152" s="1854" t="s">
        <v>22</v>
      </c>
      <c r="H152" s="1854" t="s">
        <v>22</v>
      </c>
      <c r="I152" s="1854" t="s">
        <v>1068</v>
      </c>
    </row>
    <row customHeight="1" ht="11.25">
      <c r="A153" s="1854" t="s">
        <v>2542</v>
      </c>
      <c r="B153" s="1854" t="s">
        <v>16</v>
      </c>
      <c r="C153" s="1854" t="s">
        <v>3062</v>
      </c>
      <c r="D153" s="1854" t="s">
        <v>3063</v>
      </c>
      <c r="E153" s="1854" t="s">
        <v>3064</v>
      </c>
      <c r="F153" s="1854" t="s">
        <v>3065</v>
      </c>
      <c r="G153" s="1854" t="s">
        <v>22</v>
      </c>
      <c r="H153" s="1854" t="s">
        <v>22</v>
      </c>
      <c r="I153" s="1854" t="s">
        <v>1068</v>
      </c>
    </row>
    <row customHeight="1" ht="11.25">
      <c r="A154" s="1854" t="s">
        <v>2542</v>
      </c>
      <c r="B154" s="1854" t="s">
        <v>16</v>
      </c>
      <c r="C154" s="1854" t="s">
        <v>3066</v>
      </c>
      <c r="D154" s="1854" t="s">
        <v>3067</v>
      </c>
      <c r="E154" s="1854" t="s">
        <v>3068</v>
      </c>
      <c r="F154" s="1854" t="s">
        <v>2821</v>
      </c>
      <c r="G154" s="1854" t="s">
        <v>22</v>
      </c>
      <c r="H154" s="1854" t="s">
        <v>22</v>
      </c>
      <c r="I154" s="1854" t="s">
        <v>1068</v>
      </c>
    </row>
    <row customHeight="1" ht="11.25">
      <c r="A155" s="1854" t="s">
        <v>2542</v>
      </c>
      <c r="B155" s="1854" t="s">
        <v>16</v>
      </c>
      <c r="C155" s="1854" t="s">
        <v>3069</v>
      </c>
      <c r="D155" s="1854" t="s">
        <v>3070</v>
      </c>
      <c r="E155" s="1854" t="s">
        <v>3071</v>
      </c>
      <c r="F155" s="1854" t="s">
        <v>2563</v>
      </c>
      <c r="G155" s="1854" t="s">
        <v>22</v>
      </c>
      <c r="H155" s="1854" t="s">
        <v>22</v>
      </c>
      <c r="I155" s="1854" t="s">
        <v>1068</v>
      </c>
    </row>
    <row customHeight="1" ht="11.25">
      <c r="A156" s="1854" t="s">
        <v>2542</v>
      </c>
      <c r="B156" s="1854" t="s">
        <v>16</v>
      </c>
      <c r="C156" s="1854" t="s">
        <v>3072</v>
      </c>
      <c r="D156" s="1854" t="s">
        <v>3073</v>
      </c>
      <c r="E156" s="1854" t="s">
        <v>3074</v>
      </c>
      <c r="F156" s="1854" t="s">
        <v>2817</v>
      </c>
      <c r="G156" s="1854" t="s">
        <v>22</v>
      </c>
      <c r="H156" s="1854" t="s">
        <v>22</v>
      </c>
      <c r="I156" s="1854" t="s">
        <v>1068</v>
      </c>
    </row>
    <row customHeight="1" ht="11.25">
      <c r="A157" s="1854" t="s">
        <v>2542</v>
      </c>
      <c r="B157" s="1854" t="s">
        <v>16</v>
      </c>
      <c r="C157" s="1854" t="s">
        <v>3075</v>
      </c>
      <c r="D157" s="1854" t="s">
        <v>3076</v>
      </c>
      <c r="E157" s="1854" t="s">
        <v>3077</v>
      </c>
      <c r="F157" s="1854" t="s">
        <v>2641</v>
      </c>
      <c r="G157" s="1854" t="s">
        <v>22</v>
      </c>
      <c r="H157" s="1854" t="s">
        <v>22</v>
      </c>
      <c r="I157" s="1854" t="s">
        <v>1068</v>
      </c>
    </row>
    <row customHeight="1" ht="11.25">
      <c r="A158" s="1854" t="s">
        <v>2542</v>
      </c>
      <c r="B158" s="1854" t="s">
        <v>16</v>
      </c>
      <c r="C158" s="1854" t="s">
        <v>3078</v>
      </c>
      <c r="D158" s="1854" t="s">
        <v>3079</v>
      </c>
      <c r="E158" s="1854" t="s">
        <v>3080</v>
      </c>
      <c r="F158" s="1854" t="s">
        <v>2591</v>
      </c>
      <c r="G158" s="1854" t="s">
        <v>22</v>
      </c>
      <c r="H158" s="1854" t="s">
        <v>22</v>
      </c>
      <c r="I158" s="1854" t="s">
        <v>1068</v>
      </c>
    </row>
    <row customHeight="1" ht="11.25">
      <c r="A159" s="1854" t="s">
        <v>2542</v>
      </c>
      <c r="B159" s="1854" t="s">
        <v>16</v>
      </c>
      <c r="C159" s="1854" t="s">
        <v>3081</v>
      </c>
      <c r="D159" s="1854" t="s">
        <v>3082</v>
      </c>
      <c r="E159" s="1854" t="s">
        <v>3083</v>
      </c>
      <c r="F159" s="1854" t="s">
        <v>2591</v>
      </c>
      <c r="G159" s="1854" t="s">
        <v>22</v>
      </c>
      <c r="H159" s="1854" t="s">
        <v>22</v>
      </c>
      <c r="I159" s="1854" t="s">
        <v>1068</v>
      </c>
    </row>
    <row customHeight="1" ht="11.25">
      <c r="A160" s="1854" t="s">
        <v>2542</v>
      </c>
      <c r="B160" s="1854" t="s">
        <v>16</v>
      </c>
      <c r="C160" s="1854" t="s">
        <v>3084</v>
      </c>
      <c r="D160" s="1854" t="s">
        <v>3085</v>
      </c>
      <c r="E160" s="1854" t="s">
        <v>3086</v>
      </c>
      <c r="F160" s="1854" t="s">
        <v>3065</v>
      </c>
      <c r="G160" s="1854" t="s">
        <v>22</v>
      </c>
      <c r="H160" s="1854" t="s">
        <v>22</v>
      </c>
      <c r="I160" s="1854" t="s">
        <v>1068</v>
      </c>
    </row>
    <row customHeight="1" ht="11.25">
      <c r="A161" s="1854" t="s">
        <v>2542</v>
      </c>
      <c r="B161" s="1854" t="s">
        <v>16</v>
      </c>
      <c r="C161" s="1854" t="s">
        <v>3087</v>
      </c>
      <c r="D161" s="1854" t="s">
        <v>3088</v>
      </c>
      <c r="E161" s="1854" t="s">
        <v>3089</v>
      </c>
      <c r="F161" s="1854" t="s">
        <v>2821</v>
      </c>
      <c r="G161" s="1854" t="s">
        <v>22</v>
      </c>
      <c r="H161" s="1854" t="s">
        <v>22</v>
      </c>
      <c r="I161" s="1854" t="s">
        <v>1068</v>
      </c>
    </row>
    <row customHeight="1" ht="11.25">
      <c r="A162" s="1854" t="s">
        <v>2542</v>
      </c>
      <c r="B162" s="1854" t="s">
        <v>16</v>
      </c>
      <c r="C162" s="1854" t="s">
        <v>3090</v>
      </c>
      <c r="D162" s="1854" t="s">
        <v>3091</v>
      </c>
      <c r="E162" s="1854" t="s">
        <v>3092</v>
      </c>
      <c r="F162" s="1854" t="s">
        <v>2813</v>
      </c>
      <c r="G162" s="1854" t="s">
        <v>22</v>
      </c>
      <c r="H162" s="1854" t="s">
        <v>22</v>
      </c>
      <c r="I162" s="1854" t="s">
        <v>1068</v>
      </c>
    </row>
    <row customHeight="1" ht="11.25">
      <c r="A163" s="1854" t="s">
        <v>2542</v>
      </c>
      <c r="B163" s="1854" t="s">
        <v>16</v>
      </c>
      <c r="C163" s="1854" t="s">
        <v>3093</v>
      </c>
      <c r="D163" s="1854" t="s">
        <v>3094</v>
      </c>
      <c r="E163" s="1854" t="s">
        <v>3095</v>
      </c>
      <c r="F163" s="1854" t="s">
        <v>2809</v>
      </c>
      <c r="G163" s="1854" t="s">
        <v>22</v>
      </c>
      <c r="H163" s="1854" t="s">
        <v>22</v>
      </c>
      <c r="I163" s="1854" t="s">
        <v>1068</v>
      </c>
    </row>
    <row customHeight="1" ht="11.25">
      <c r="A164" s="1854" t="s">
        <v>2542</v>
      </c>
      <c r="B164" s="1854" t="s">
        <v>16</v>
      </c>
      <c r="C164" s="1854" t="s">
        <v>3096</v>
      </c>
      <c r="D164" s="1854" t="s">
        <v>3097</v>
      </c>
      <c r="E164" s="1854" t="s">
        <v>3098</v>
      </c>
      <c r="F164" s="1854" t="s">
        <v>2973</v>
      </c>
      <c r="G164" s="1854" t="s">
        <v>22</v>
      </c>
      <c r="H164" s="1854" t="s">
        <v>22</v>
      </c>
      <c r="I164" s="1854" t="s">
        <v>1068</v>
      </c>
    </row>
    <row customHeight="1" ht="11.25">
      <c r="A165" s="1854" t="s">
        <v>2542</v>
      </c>
      <c r="B165" s="1854" t="s">
        <v>16</v>
      </c>
      <c r="C165" s="1854" t="s">
        <v>3099</v>
      </c>
      <c r="D165" s="1854" t="s">
        <v>3100</v>
      </c>
      <c r="E165" s="1854" t="s">
        <v>3101</v>
      </c>
      <c r="F165" s="1854" t="s">
        <v>3102</v>
      </c>
      <c r="G165" s="1854" t="s">
        <v>22</v>
      </c>
      <c r="H165" s="1854" t="s">
        <v>22</v>
      </c>
      <c r="I165" s="1854" t="s">
        <v>1068</v>
      </c>
    </row>
    <row customHeight="1" ht="11.25">
      <c r="A166" s="1854" t="s">
        <v>2542</v>
      </c>
      <c r="B166" s="1854" t="s">
        <v>16</v>
      </c>
      <c r="C166" s="1854" t="s">
        <v>3103</v>
      </c>
      <c r="D166" s="1854" t="s">
        <v>3104</v>
      </c>
      <c r="E166" s="1854" t="s">
        <v>3105</v>
      </c>
      <c r="F166" s="1854" t="s">
        <v>2599</v>
      </c>
      <c r="G166" s="1854" t="s">
        <v>22</v>
      </c>
      <c r="H166" s="1854" t="s">
        <v>22</v>
      </c>
      <c r="I166" s="1854" t="s">
        <v>1068</v>
      </c>
    </row>
    <row customHeight="1" ht="11.25">
      <c r="A167" s="1854" t="s">
        <v>2542</v>
      </c>
      <c r="B167" s="1854" t="s">
        <v>16</v>
      </c>
      <c r="C167" s="1854" t="s">
        <v>3106</v>
      </c>
      <c r="D167" s="1854" t="s">
        <v>3107</v>
      </c>
      <c r="E167" s="1854" t="s">
        <v>3108</v>
      </c>
      <c r="F167" s="1854" t="s">
        <v>3109</v>
      </c>
      <c r="G167" s="1854" t="s">
        <v>22</v>
      </c>
      <c r="H167" s="1854" t="s">
        <v>22</v>
      </c>
      <c r="I167" s="1854" t="s">
        <v>1068</v>
      </c>
    </row>
    <row customHeight="1" ht="11.25">
      <c r="A168" s="1854" t="s">
        <v>2542</v>
      </c>
      <c r="B168" s="1854" t="s">
        <v>16</v>
      </c>
      <c r="C168" s="1854" t="s">
        <v>3110</v>
      </c>
      <c r="D168" s="1854" t="s">
        <v>3111</v>
      </c>
      <c r="E168" s="1854" t="s">
        <v>3112</v>
      </c>
      <c r="F168" s="1854" t="s">
        <v>2973</v>
      </c>
      <c r="G168" s="1854" t="s">
        <v>22</v>
      </c>
      <c r="H168" s="1854" t="s">
        <v>22</v>
      </c>
      <c r="I168" s="1854" t="s">
        <v>1068</v>
      </c>
    </row>
    <row customHeight="1" ht="11.25">
      <c r="A169" s="1854" t="s">
        <v>2542</v>
      </c>
      <c r="B169" s="1854" t="s">
        <v>16</v>
      </c>
      <c r="C169" s="1854" t="s">
        <v>3113</v>
      </c>
      <c r="D169" s="1854" t="s">
        <v>3114</v>
      </c>
      <c r="E169" s="1854" t="s">
        <v>3115</v>
      </c>
      <c r="F169" s="1854" t="s">
        <v>2828</v>
      </c>
      <c r="G169" s="1854" t="s">
        <v>22</v>
      </c>
      <c r="H169" s="1854" t="s">
        <v>22</v>
      </c>
      <c r="I169" s="1854" t="s">
        <v>1068</v>
      </c>
    </row>
    <row customHeight="1" ht="11.25">
      <c r="A170" s="1854" t="s">
        <v>2542</v>
      </c>
      <c r="B170" s="1854" t="s">
        <v>16</v>
      </c>
      <c r="C170" s="1854" t="s">
        <v>3116</v>
      </c>
      <c r="D170" s="1854" t="s">
        <v>3117</v>
      </c>
      <c r="E170" s="1854" t="s">
        <v>3118</v>
      </c>
      <c r="F170" s="1854" t="s">
        <v>2991</v>
      </c>
      <c r="G170" s="1854" t="s">
        <v>22</v>
      </c>
      <c r="H170" s="1854" t="s">
        <v>22</v>
      </c>
      <c r="I170" s="1854" t="s">
        <v>1068</v>
      </c>
    </row>
    <row customHeight="1" ht="11.25">
      <c r="A171" s="1854" t="s">
        <v>2542</v>
      </c>
      <c r="B171" s="1854" t="s">
        <v>16</v>
      </c>
      <c r="C171" s="1854" t="s">
        <v>3119</v>
      </c>
      <c r="D171" s="1854" t="s">
        <v>3120</v>
      </c>
      <c r="E171" s="1854" t="s">
        <v>3121</v>
      </c>
      <c r="F171" s="1854" t="s">
        <v>3122</v>
      </c>
      <c r="G171" s="1854" t="s">
        <v>22</v>
      </c>
      <c r="H171" s="1854" t="s">
        <v>22</v>
      </c>
      <c r="I171" s="1854" t="s">
        <v>1068</v>
      </c>
    </row>
    <row customHeight="1" ht="11.25">
      <c r="A172" s="1854" t="s">
        <v>2542</v>
      </c>
      <c r="B172" s="1854" t="s">
        <v>16</v>
      </c>
      <c r="C172" s="1854" t="s">
        <v>3123</v>
      </c>
      <c r="D172" s="1854" t="s">
        <v>3124</v>
      </c>
      <c r="E172" s="1854" t="s">
        <v>3125</v>
      </c>
      <c r="F172" s="1854" t="s">
        <v>2828</v>
      </c>
      <c r="G172" s="1854" t="s">
        <v>22</v>
      </c>
      <c r="H172" s="1854" t="s">
        <v>22</v>
      </c>
      <c r="I172" s="1854" t="s">
        <v>1068</v>
      </c>
    </row>
    <row customHeight="1" ht="11.25">
      <c r="A173" s="1854" t="s">
        <v>2542</v>
      </c>
      <c r="B173" s="1854" t="s">
        <v>16</v>
      </c>
      <c r="C173" s="1854" t="s">
        <v>3126</v>
      </c>
      <c r="D173" s="1854" t="s">
        <v>3127</v>
      </c>
      <c r="E173" s="1854" t="s">
        <v>3128</v>
      </c>
      <c r="F173" s="1854" t="s">
        <v>3129</v>
      </c>
      <c r="G173" s="1854" t="s">
        <v>22</v>
      </c>
      <c r="H173" s="1854" t="s">
        <v>22</v>
      </c>
      <c r="I173" s="1854" t="s">
        <v>1068</v>
      </c>
    </row>
    <row customHeight="1" ht="11.25">
      <c r="A174" s="1854" t="s">
        <v>2542</v>
      </c>
      <c r="B174" s="1854" t="s">
        <v>16</v>
      </c>
      <c r="C174" s="1854" t="s">
        <v>3130</v>
      </c>
      <c r="D174" s="1854" t="s">
        <v>3131</v>
      </c>
      <c r="E174" s="1854" t="s">
        <v>3132</v>
      </c>
      <c r="F174" s="1854" t="s">
        <v>2610</v>
      </c>
      <c r="G174" s="1854" t="s">
        <v>22</v>
      </c>
      <c r="H174" s="1854" t="s">
        <v>22</v>
      </c>
      <c r="I174" s="1854" t="s">
        <v>1068</v>
      </c>
    </row>
    <row customHeight="1" ht="11.25">
      <c r="A175" s="1854" t="s">
        <v>2542</v>
      </c>
      <c r="B175" s="1854" t="s">
        <v>16</v>
      </c>
      <c r="C175" s="1854" t="s">
        <v>3133</v>
      </c>
      <c r="D175" s="1854" t="s">
        <v>3134</v>
      </c>
      <c r="E175" s="1854" t="s">
        <v>3135</v>
      </c>
      <c r="F175" s="1854" t="s">
        <v>2805</v>
      </c>
      <c r="G175" s="1854" t="s">
        <v>22</v>
      </c>
      <c r="H175" s="1854" t="s">
        <v>22</v>
      </c>
      <c r="I175" s="1854" t="s">
        <v>1068</v>
      </c>
    </row>
    <row customHeight="1" ht="11.25">
      <c r="A176" s="1854" t="s">
        <v>2542</v>
      </c>
      <c r="B176" s="1854" t="s">
        <v>16</v>
      </c>
      <c r="C176" s="1854" t="s">
        <v>3136</v>
      </c>
      <c r="D176" s="1854" t="s">
        <v>3137</v>
      </c>
      <c r="E176" s="1854" t="s">
        <v>3138</v>
      </c>
      <c r="F176" s="1854" t="s">
        <v>2925</v>
      </c>
      <c r="G176" s="1854" t="s">
        <v>3139</v>
      </c>
      <c r="H176" s="1854" t="s">
        <v>22</v>
      </c>
      <c r="I176" s="1854" t="s">
        <v>1068</v>
      </c>
    </row>
    <row customHeight="1" ht="11.25">
      <c r="A177" s="1854" t="s">
        <v>2542</v>
      </c>
      <c r="B177" s="1854" t="s">
        <v>16</v>
      </c>
      <c r="C177" s="1854" t="s">
        <v>3140</v>
      </c>
      <c r="D177" s="1854" t="s">
        <v>3141</v>
      </c>
      <c r="E177" s="1854" t="s">
        <v>3142</v>
      </c>
      <c r="F177" s="1854" t="s">
        <v>2984</v>
      </c>
      <c r="G177" s="1854" t="s">
        <v>22</v>
      </c>
      <c r="H177" s="1854" t="s">
        <v>22</v>
      </c>
      <c r="I177" s="1854" t="s">
        <v>1068</v>
      </c>
    </row>
    <row customHeight="1" ht="11.25">
      <c r="A178" s="1854" t="s">
        <v>2542</v>
      </c>
      <c r="B178" s="1854" t="s">
        <v>16</v>
      </c>
      <c r="C178" s="1854" t="s">
        <v>3143</v>
      </c>
      <c r="D178" s="1854" t="s">
        <v>3144</v>
      </c>
      <c r="E178" s="1854" t="s">
        <v>3145</v>
      </c>
      <c r="F178" s="1854" t="s">
        <v>2813</v>
      </c>
      <c r="G178" s="1854" t="s">
        <v>22</v>
      </c>
      <c r="H178" s="1854" t="s">
        <v>22</v>
      </c>
      <c r="I178" s="1854" t="s">
        <v>1068</v>
      </c>
    </row>
    <row customHeight="1" ht="11.25">
      <c r="A179" s="1854" t="s">
        <v>2542</v>
      </c>
      <c r="B179" s="1854" t="s">
        <v>16</v>
      </c>
      <c r="C179" s="1854" t="s">
        <v>3146</v>
      </c>
      <c r="D179" s="1854" t="s">
        <v>3147</v>
      </c>
      <c r="E179" s="1854" t="s">
        <v>3148</v>
      </c>
      <c r="F179" s="1854" t="s">
        <v>3149</v>
      </c>
      <c r="G179" s="1854" t="s">
        <v>22</v>
      </c>
      <c r="H179" s="1854" t="s">
        <v>22</v>
      </c>
      <c r="I179" s="1854" t="s">
        <v>1068</v>
      </c>
    </row>
    <row customHeight="1" ht="11.25">
      <c r="A180" s="1854" t="s">
        <v>2542</v>
      </c>
      <c r="B180" s="1854" t="s">
        <v>16</v>
      </c>
      <c r="C180" s="1854" t="s">
        <v>3150</v>
      </c>
      <c r="D180" s="1854" t="s">
        <v>3151</v>
      </c>
      <c r="E180" s="1854" t="s">
        <v>3152</v>
      </c>
      <c r="F180" s="1854" t="s">
        <v>2785</v>
      </c>
      <c r="G180" s="1854" t="s">
        <v>22</v>
      </c>
      <c r="H180" s="1854" t="s">
        <v>22</v>
      </c>
      <c r="I180" s="1854" t="s">
        <v>1068</v>
      </c>
    </row>
    <row customHeight="1" ht="11.25">
      <c r="A181" s="1854" t="s">
        <v>2542</v>
      </c>
      <c r="B181" s="1854" t="s">
        <v>16</v>
      </c>
      <c r="C181" s="1854" t="s">
        <v>3153</v>
      </c>
      <c r="D181" s="1854" t="s">
        <v>3154</v>
      </c>
      <c r="E181" s="1854" t="s">
        <v>3155</v>
      </c>
      <c r="F181" s="1854" t="s">
        <v>3156</v>
      </c>
      <c r="G181" s="1854" t="s">
        <v>22</v>
      </c>
      <c r="H181" s="1854" t="s">
        <v>22</v>
      </c>
      <c r="I181" s="1854" t="s">
        <v>1068</v>
      </c>
    </row>
    <row customHeight="1" ht="11.25">
      <c r="A182" s="1854" t="s">
        <v>2542</v>
      </c>
      <c r="B182" s="1854" t="s">
        <v>16</v>
      </c>
      <c r="C182" s="1854" t="s">
        <v>3157</v>
      </c>
      <c r="D182" s="1854" t="s">
        <v>3158</v>
      </c>
      <c r="E182" s="1854" t="s">
        <v>3159</v>
      </c>
      <c r="F182" s="1854" t="s">
        <v>2821</v>
      </c>
      <c r="G182" s="1854" t="s">
        <v>3160</v>
      </c>
      <c r="H182" s="1854" t="s">
        <v>22</v>
      </c>
      <c r="I182" s="1854" t="s">
        <v>1068</v>
      </c>
    </row>
    <row customHeight="1" ht="11.25">
      <c r="A183" s="1854" t="s">
        <v>2542</v>
      </c>
      <c r="B183" s="1854" t="s">
        <v>16</v>
      </c>
      <c r="C183" s="1854" t="s">
        <v>3161</v>
      </c>
      <c r="D183" s="1854" t="s">
        <v>3162</v>
      </c>
      <c r="E183" s="1854" t="s">
        <v>3163</v>
      </c>
      <c r="F183" s="1854" t="s">
        <v>2821</v>
      </c>
      <c r="G183" s="1854" t="s">
        <v>22</v>
      </c>
      <c r="H183" s="1854" t="s">
        <v>22</v>
      </c>
      <c r="I183" s="1854" t="s">
        <v>1068</v>
      </c>
    </row>
    <row customHeight="1" ht="11.25">
      <c r="A184" s="1854" t="s">
        <v>2542</v>
      </c>
      <c r="B184" s="1854" t="s">
        <v>16</v>
      </c>
      <c r="C184" s="1854" t="s">
        <v>3164</v>
      </c>
      <c r="D184" s="1854" t="s">
        <v>3165</v>
      </c>
      <c r="E184" s="1854" t="s">
        <v>3166</v>
      </c>
      <c r="F184" s="1854" t="s">
        <v>3167</v>
      </c>
      <c r="G184" s="1854" t="s">
        <v>22</v>
      </c>
      <c r="H184" s="1854" t="s">
        <v>22</v>
      </c>
      <c r="I184" s="1854" t="s">
        <v>1068</v>
      </c>
    </row>
    <row customHeight="1" ht="11.25">
      <c r="A185" s="1854" t="s">
        <v>2542</v>
      </c>
      <c r="B185" s="1854" t="s">
        <v>16</v>
      </c>
      <c r="C185" s="1854" t="s">
        <v>3168</v>
      </c>
      <c r="D185" s="1854" t="s">
        <v>3169</v>
      </c>
      <c r="E185" s="1854" t="s">
        <v>3170</v>
      </c>
      <c r="F185" s="1854" t="s">
        <v>2973</v>
      </c>
      <c r="G185" s="1854" t="s">
        <v>22</v>
      </c>
      <c r="H185" s="1854" t="s">
        <v>22</v>
      </c>
      <c r="I185" s="1854" t="s">
        <v>1068</v>
      </c>
    </row>
    <row customHeight="1" ht="11.25">
      <c r="A186" s="1854" t="s">
        <v>2542</v>
      </c>
      <c r="B186" s="1854" t="s">
        <v>16</v>
      </c>
      <c r="C186" s="1854" t="s">
        <v>3171</v>
      </c>
      <c r="D186" s="1854" t="s">
        <v>3172</v>
      </c>
      <c r="E186" s="1854" t="s">
        <v>3173</v>
      </c>
      <c r="F186" s="1854" t="s">
        <v>2785</v>
      </c>
      <c r="G186" s="1854" t="s">
        <v>3174</v>
      </c>
      <c r="H186" s="1854" t="s">
        <v>22</v>
      </c>
      <c r="I186" s="1854" t="s">
        <v>1068</v>
      </c>
    </row>
    <row customHeight="1" ht="11.25">
      <c r="A187" s="1854" t="s">
        <v>2542</v>
      </c>
      <c r="B187" s="1854" t="s">
        <v>16</v>
      </c>
      <c r="C187" s="1854" t="s">
        <v>3175</v>
      </c>
      <c r="D187" s="1854" t="s">
        <v>3176</v>
      </c>
      <c r="E187" s="1854" t="s">
        <v>3177</v>
      </c>
      <c r="F187" s="1854" t="s">
        <v>3129</v>
      </c>
      <c r="G187" s="1854" t="s">
        <v>22</v>
      </c>
      <c r="H187" s="1854" t="s">
        <v>22</v>
      </c>
      <c r="I187" s="1854" t="s">
        <v>1068</v>
      </c>
    </row>
    <row customHeight="1" ht="11.25">
      <c r="A188" s="1854" t="s">
        <v>2542</v>
      </c>
      <c r="B188" s="1854" t="s">
        <v>16</v>
      </c>
      <c r="C188" s="1854" t="s">
        <v>3178</v>
      </c>
      <c r="D188" s="1854" t="s">
        <v>3179</v>
      </c>
      <c r="E188" s="1854" t="s">
        <v>3180</v>
      </c>
      <c r="F188" s="1854" t="s">
        <v>3181</v>
      </c>
      <c r="G188" s="1854" t="s">
        <v>22</v>
      </c>
      <c r="H188" s="1854" t="s">
        <v>22</v>
      </c>
      <c r="I188" s="1854" t="s">
        <v>1068</v>
      </c>
    </row>
    <row customHeight="1" ht="11.25">
      <c r="A189" s="1854" t="s">
        <v>2542</v>
      </c>
      <c r="B189" s="1854" t="s">
        <v>16</v>
      </c>
      <c r="C189" s="1854" t="s">
        <v>3182</v>
      </c>
      <c r="D189" s="1854" t="s">
        <v>3183</v>
      </c>
      <c r="E189" s="1854" t="s">
        <v>3184</v>
      </c>
      <c r="F189" s="1854" t="s">
        <v>3129</v>
      </c>
      <c r="G189" s="1854" t="s">
        <v>22</v>
      </c>
      <c r="H189" s="1854" t="s">
        <v>22</v>
      </c>
      <c r="I189" s="1854" t="s">
        <v>1068</v>
      </c>
    </row>
    <row customHeight="1" ht="11.25">
      <c r="A190" s="1854" t="s">
        <v>2542</v>
      </c>
      <c r="B190" s="1854" t="s">
        <v>16</v>
      </c>
      <c r="C190" s="1854" t="s">
        <v>3185</v>
      </c>
      <c r="D190" s="1854" t="s">
        <v>3186</v>
      </c>
      <c r="E190" s="1854" t="s">
        <v>3187</v>
      </c>
      <c r="F190" s="1854" t="s">
        <v>2925</v>
      </c>
      <c r="G190" s="1854" t="s">
        <v>3188</v>
      </c>
      <c r="H190" s="1854" t="s">
        <v>3189</v>
      </c>
      <c r="I190" s="1854" t="s">
        <v>1068</v>
      </c>
    </row>
    <row customHeight="1" ht="11.25">
      <c r="A191" s="1854" t="s">
        <v>2542</v>
      </c>
      <c r="B191" s="1854" t="s">
        <v>16</v>
      </c>
      <c r="C191" s="1854" t="s">
        <v>3190</v>
      </c>
      <c r="D191" s="1854" t="s">
        <v>3191</v>
      </c>
      <c r="E191" s="1854" t="s">
        <v>3192</v>
      </c>
      <c r="F191" s="1854" t="s">
        <v>2785</v>
      </c>
      <c r="G191" s="1854" t="s">
        <v>3193</v>
      </c>
      <c r="H191" s="1854" t="s">
        <v>22</v>
      </c>
      <c r="I191" s="1854" t="s">
        <v>1068</v>
      </c>
    </row>
    <row customHeight="1" ht="11.25">
      <c r="A192" s="1854" t="s">
        <v>2542</v>
      </c>
      <c r="B192" s="1854" t="s">
        <v>16</v>
      </c>
      <c r="C192" s="1854" t="s">
        <v>3194</v>
      </c>
      <c r="D192" s="1854" t="s">
        <v>3195</v>
      </c>
      <c r="E192" s="1854" t="s">
        <v>3196</v>
      </c>
      <c r="F192" s="1854" t="s">
        <v>2550</v>
      </c>
      <c r="G192" s="1854" t="s">
        <v>22</v>
      </c>
      <c r="H192" s="1854" t="s">
        <v>22</v>
      </c>
      <c r="I192" s="1854" t="s">
        <v>1068</v>
      </c>
    </row>
    <row customHeight="1" ht="11.25">
      <c r="A193" s="1854" t="s">
        <v>2542</v>
      </c>
      <c r="B193" s="1854" t="s">
        <v>16</v>
      </c>
      <c r="C193" s="1854" t="s">
        <v>3197</v>
      </c>
      <c r="D193" s="1854" t="s">
        <v>3198</v>
      </c>
      <c r="E193" s="1854" t="s">
        <v>3199</v>
      </c>
      <c r="F193" s="1854" t="s">
        <v>2550</v>
      </c>
      <c r="G193" s="1854" t="s">
        <v>22</v>
      </c>
      <c r="H193" s="1854" t="s">
        <v>22</v>
      </c>
      <c r="I193" s="1854" t="s">
        <v>1068</v>
      </c>
    </row>
    <row customHeight="1" ht="11.25">
      <c r="A194" s="1854" t="s">
        <v>2542</v>
      </c>
      <c r="B194" s="1854" t="s">
        <v>16</v>
      </c>
      <c r="C194" s="1854" t="s">
        <v>3200</v>
      </c>
      <c r="D194" s="1854" t="s">
        <v>3201</v>
      </c>
      <c r="E194" s="1854" t="s">
        <v>2780</v>
      </c>
      <c r="F194" s="1854" t="s">
        <v>2844</v>
      </c>
      <c r="G194" s="1854" t="s">
        <v>22</v>
      </c>
      <c r="H194" s="1854" t="s">
        <v>22</v>
      </c>
      <c r="I194" s="1854" t="s">
        <v>1068</v>
      </c>
    </row>
    <row customHeight="1" ht="11.25">
      <c r="A195" s="1854" t="s">
        <v>2542</v>
      </c>
      <c r="B195" s="1854" t="s">
        <v>16</v>
      </c>
      <c r="C195" s="1854" t="s">
        <v>3202</v>
      </c>
      <c r="D195" s="1854" t="s">
        <v>3203</v>
      </c>
      <c r="E195" s="1854" t="s">
        <v>3204</v>
      </c>
      <c r="F195" s="1854" t="s">
        <v>3205</v>
      </c>
      <c r="G195" s="1854" t="s">
        <v>22</v>
      </c>
      <c r="H195" s="1854" t="s">
        <v>22</v>
      </c>
      <c r="I195" s="1854" t="s">
        <v>1068</v>
      </c>
    </row>
    <row customHeight="1" ht="11.25">
      <c r="A196" s="1854" t="s">
        <v>2542</v>
      </c>
      <c r="B196" s="1854" t="s">
        <v>16</v>
      </c>
      <c r="C196" s="1854" t="s">
        <v>3206</v>
      </c>
      <c r="D196" s="1854" t="s">
        <v>3207</v>
      </c>
      <c r="E196" s="1854" t="s">
        <v>3204</v>
      </c>
      <c r="F196" s="1854" t="s">
        <v>3208</v>
      </c>
      <c r="G196" s="1854" t="s">
        <v>22</v>
      </c>
      <c r="H196" s="1854" t="s">
        <v>22</v>
      </c>
      <c r="I196" s="1854" t="s">
        <v>1068</v>
      </c>
    </row>
    <row customHeight="1" ht="11.25">
      <c r="A197" s="1854" t="s">
        <v>2542</v>
      </c>
      <c r="B197" s="1854" t="s">
        <v>16</v>
      </c>
      <c r="C197" s="1854" t="s">
        <v>3209</v>
      </c>
      <c r="D197" s="1854" t="s">
        <v>3210</v>
      </c>
      <c r="E197" s="1854" t="s">
        <v>3211</v>
      </c>
      <c r="F197" s="1854" t="s">
        <v>2785</v>
      </c>
      <c r="G197" s="1854" t="s">
        <v>22</v>
      </c>
      <c r="H197" s="1854" t="s">
        <v>22</v>
      </c>
      <c r="I197" s="1854" t="s">
        <v>1068</v>
      </c>
    </row>
    <row customHeight="1" ht="11.25">
      <c r="A198" s="1854" t="s">
        <v>2542</v>
      </c>
      <c r="B198" s="1854" t="s">
        <v>16</v>
      </c>
      <c r="C198" s="1854" t="s">
        <v>3212</v>
      </c>
      <c r="D198" s="1854" t="s">
        <v>3213</v>
      </c>
      <c r="E198" s="1854" t="s">
        <v>3214</v>
      </c>
      <c r="F198" s="1854" t="s">
        <v>2844</v>
      </c>
      <c r="G198" s="1854" t="s">
        <v>22</v>
      </c>
      <c r="H198" s="1854" t="s">
        <v>22</v>
      </c>
      <c r="I198" s="1854" t="s">
        <v>1068</v>
      </c>
    </row>
    <row customHeight="1" ht="11.25">
      <c r="A199" s="1854" t="s">
        <v>2542</v>
      </c>
      <c r="B199" s="1854" t="s">
        <v>16</v>
      </c>
      <c r="C199" s="1854" t="s">
        <v>3215</v>
      </c>
      <c r="D199" s="1854" t="s">
        <v>3216</v>
      </c>
      <c r="E199" s="1854" t="s">
        <v>3217</v>
      </c>
      <c r="F199" s="1854" t="s">
        <v>2767</v>
      </c>
      <c r="G199" s="1854" t="s">
        <v>22</v>
      </c>
      <c r="H199" s="1854" t="s">
        <v>22</v>
      </c>
      <c r="I199" s="1854" t="s">
        <v>1068</v>
      </c>
    </row>
    <row customHeight="1" ht="11.25">
      <c r="A200" s="1854" t="s">
        <v>2542</v>
      </c>
      <c r="B200" s="1854" t="s">
        <v>16</v>
      </c>
      <c r="C200" s="1854" t="s">
        <v>3218</v>
      </c>
      <c r="D200" s="1854" t="s">
        <v>3219</v>
      </c>
      <c r="E200" s="1854" t="s">
        <v>3220</v>
      </c>
      <c r="F200" s="1854" t="s">
        <v>2828</v>
      </c>
      <c r="G200" s="1854" t="s">
        <v>22</v>
      </c>
      <c r="H200" s="1854" t="s">
        <v>22</v>
      </c>
      <c r="I200" s="1854" t="s">
        <v>1068</v>
      </c>
    </row>
    <row customHeight="1" ht="11.25">
      <c r="A201" s="1854" t="s">
        <v>2542</v>
      </c>
      <c r="B201" s="1854" t="s">
        <v>16</v>
      </c>
      <c r="C201" s="1854" t="s">
        <v>3221</v>
      </c>
      <c r="D201" s="1854" t="s">
        <v>3222</v>
      </c>
      <c r="E201" s="1854" t="s">
        <v>3223</v>
      </c>
      <c r="F201" s="1854" t="s">
        <v>3224</v>
      </c>
      <c r="G201" s="1854" t="s">
        <v>22</v>
      </c>
      <c r="H201" s="1854" t="s">
        <v>22</v>
      </c>
      <c r="I201" s="1854" t="s">
        <v>1068</v>
      </c>
    </row>
    <row customHeight="1" ht="11.25">
      <c r="A202" s="1854" t="s">
        <v>2542</v>
      </c>
      <c r="B202" s="1854" t="s">
        <v>16</v>
      </c>
      <c r="C202" s="1854" t="s">
        <v>3225</v>
      </c>
      <c r="D202" s="1854" t="s">
        <v>3226</v>
      </c>
      <c r="E202" s="1854" t="s">
        <v>3227</v>
      </c>
      <c r="F202" s="1854" t="s">
        <v>50</v>
      </c>
      <c r="G202" s="1854" t="s">
        <v>22</v>
      </c>
      <c r="H202" s="1854" t="s">
        <v>22</v>
      </c>
      <c r="I202" s="1854" t="s">
        <v>1068</v>
      </c>
    </row>
    <row customHeight="1" ht="11.25">
      <c r="A203" s="1854" t="s">
        <v>2542</v>
      </c>
      <c r="B203" s="1854" t="s">
        <v>16</v>
      </c>
      <c r="C203" s="1854" t="s">
        <v>3228</v>
      </c>
      <c r="D203" s="1854" t="s">
        <v>3229</v>
      </c>
      <c r="E203" s="1854" t="s">
        <v>2720</v>
      </c>
      <c r="F203" s="1854" t="s">
        <v>3230</v>
      </c>
      <c r="G203" s="1854" t="s">
        <v>22</v>
      </c>
      <c r="H203" s="1854" t="s">
        <v>22</v>
      </c>
      <c r="I203" s="1854" t="s">
        <v>1068</v>
      </c>
    </row>
    <row customHeight="1" ht="11.25">
      <c r="A204" s="1854" t="s">
        <v>2542</v>
      </c>
      <c r="B204" s="1854" t="s">
        <v>16</v>
      </c>
      <c r="C204" s="1854" t="s">
        <v>3231</v>
      </c>
      <c r="D204" s="1854" t="s">
        <v>3232</v>
      </c>
      <c r="E204" s="1854" t="s">
        <v>3233</v>
      </c>
      <c r="F204" s="1854" t="s">
        <v>2844</v>
      </c>
      <c r="G204" s="1854" t="s">
        <v>22</v>
      </c>
      <c r="H204" s="1854" t="s">
        <v>22</v>
      </c>
      <c r="I204" s="1854" t="s">
        <v>1068</v>
      </c>
    </row>
    <row customHeight="1" ht="11.25">
      <c r="A205" s="1854" t="s">
        <v>2542</v>
      </c>
      <c r="B205" s="1854" t="s">
        <v>16</v>
      </c>
      <c r="C205" s="1854" t="s">
        <v>3234</v>
      </c>
      <c r="D205" s="1854" t="s">
        <v>3235</v>
      </c>
      <c r="E205" s="1854" t="s">
        <v>3236</v>
      </c>
      <c r="F205" s="1854" t="s">
        <v>2620</v>
      </c>
      <c r="G205" s="1854" t="s">
        <v>22</v>
      </c>
      <c r="H205" s="1854" t="s">
        <v>22</v>
      </c>
      <c r="I205" s="1854" t="s">
        <v>1068</v>
      </c>
    </row>
    <row customHeight="1" ht="11.25">
      <c r="A206" s="1854" t="s">
        <v>2542</v>
      </c>
      <c r="B206" s="1854" t="s">
        <v>16</v>
      </c>
      <c r="C206" s="1854" t="s">
        <v>3237</v>
      </c>
      <c r="D206" s="1854" t="s">
        <v>3238</v>
      </c>
      <c r="E206" s="1854" t="s">
        <v>3239</v>
      </c>
      <c r="F206" s="1854" t="s">
        <v>50</v>
      </c>
      <c r="G206" s="1854" t="s">
        <v>22</v>
      </c>
      <c r="H206" s="1854" t="s">
        <v>22</v>
      </c>
      <c r="I206" s="1854" t="s">
        <v>1068</v>
      </c>
    </row>
    <row customHeight="1" ht="11.25">
      <c r="A207" s="1854" t="s">
        <v>2542</v>
      </c>
      <c r="B207" s="1854" t="s">
        <v>16</v>
      </c>
      <c r="C207" s="1854" t="s">
        <v>3240</v>
      </c>
      <c r="D207" s="1854" t="s">
        <v>3241</v>
      </c>
      <c r="E207" s="1854" t="s">
        <v>3242</v>
      </c>
      <c r="F207" s="1854" t="s">
        <v>2606</v>
      </c>
      <c r="G207" s="1854" t="s">
        <v>22</v>
      </c>
      <c r="H207" s="1854" t="s">
        <v>22</v>
      </c>
      <c r="I207" s="1854" t="s">
        <v>1068</v>
      </c>
    </row>
    <row customHeight="1" ht="11.25">
      <c r="A208" s="1854" t="s">
        <v>2542</v>
      </c>
      <c r="B208" s="1854" t="s">
        <v>16</v>
      </c>
      <c r="C208" s="1854" t="s">
        <v>3243</v>
      </c>
      <c r="D208" s="1854" t="s">
        <v>3244</v>
      </c>
      <c r="E208" s="1854" t="s">
        <v>3245</v>
      </c>
      <c r="F208" s="1854" t="s">
        <v>2620</v>
      </c>
      <c r="G208" s="1854" t="s">
        <v>22</v>
      </c>
      <c r="H208" s="1854" t="s">
        <v>22</v>
      </c>
      <c r="I208" s="1854" t="s">
        <v>1068</v>
      </c>
    </row>
    <row customHeight="1" ht="11.25">
      <c r="A209" s="1854" t="s">
        <v>2542</v>
      </c>
      <c r="B209" s="1854" t="s">
        <v>16</v>
      </c>
      <c r="C209" s="1854" t="s">
        <v>3246</v>
      </c>
      <c r="D209" s="1854" t="s">
        <v>3247</v>
      </c>
      <c r="E209" s="1854" t="s">
        <v>3248</v>
      </c>
      <c r="F209" s="1854" t="s">
        <v>2665</v>
      </c>
      <c r="G209" s="1854" t="s">
        <v>22</v>
      </c>
      <c r="H209" s="1854" t="s">
        <v>22</v>
      </c>
      <c r="I209" s="1854" t="s">
        <v>1068</v>
      </c>
    </row>
    <row customHeight="1" ht="11.25">
      <c r="A210" s="1854" t="s">
        <v>2542</v>
      </c>
      <c r="B210" s="1854" t="s">
        <v>16</v>
      </c>
      <c r="C210" s="1854" t="s">
        <v>3249</v>
      </c>
      <c r="D210" s="1854" t="s">
        <v>3250</v>
      </c>
      <c r="E210" s="1854" t="s">
        <v>3251</v>
      </c>
      <c r="F210" s="1854" t="s">
        <v>2821</v>
      </c>
      <c r="G210" s="1854" t="s">
        <v>22</v>
      </c>
      <c r="H210" s="1854" t="s">
        <v>3252</v>
      </c>
      <c r="I210" s="1854" t="s">
        <v>1068</v>
      </c>
    </row>
    <row customHeight="1" ht="11.25">
      <c r="A211" s="1854" t="s">
        <v>2542</v>
      </c>
      <c r="B211" s="1854" t="s">
        <v>16</v>
      </c>
      <c r="C211" s="1854" t="s">
        <v>3253</v>
      </c>
      <c r="D211" s="1854" t="s">
        <v>3254</v>
      </c>
      <c r="E211" s="1854" t="s">
        <v>3255</v>
      </c>
      <c r="F211" s="1854" t="s">
        <v>3256</v>
      </c>
      <c r="G211" s="1854" t="s">
        <v>22</v>
      </c>
      <c r="H211" s="1854" t="s">
        <v>22</v>
      </c>
      <c r="I211" s="1854" t="s">
        <v>1068</v>
      </c>
    </row>
    <row customHeight="1" ht="11.25">
      <c r="A212" s="1854" t="s">
        <v>2542</v>
      </c>
      <c r="B212" s="1854" t="s">
        <v>16</v>
      </c>
      <c r="C212" s="1854" t="s">
        <v>3257</v>
      </c>
      <c r="D212" s="1854" t="s">
        <v>3258</v>
      </c>
      <c r="E212" s="1854" t="s">
        <v>3259</v>
      </c>
      <c r="F212" s="1854" t="s">
        <v>2995</v>
      </c>
      <c r="G212" s="1854" t="s">
        <v>22</v>
      </c>
      <c r="H212" s="1854" t="s">
        <v>22</v>
      </c>
      <c r="I212" s="1854" t="s">
        <v>1068</v>
      </c>
    </row>
    <row customHeight="1" ht="11.25">
      <c r="A213" s="1854" t="s">
        <v>2542</v>
      </c>
      <c r="B213" s="1854" t="s">
        <v>16</v>
      </c>
      <c r="C213" s="1854" t="s">
        <v>3260</v>
      </c>
      <c r="D213" s="1854" t="s">
        <v>3261</v>
      </c>
      <c r="E213" s="1854" t="s">
        <v>3262</v>
      </c>
      <c r="F213" s="1854" t="s">
        <v>2641</v>
      </c>
      <c r="G213" s="1854" t="s">
        <v>22</v>
      </c>
      <c r="H213" s="1854" t="s">
        <v>22</v>
      </c>
      <c r="I213" s="1854" t="s">
        <v>1068</v>
      </c>
    </row>
    <row customHeight="1" ht="11.25">
      <c r="A214" s="1854" t="s">
        <v>2542</v>
      </c>
      <c r="B214" s="1854" t="s">
        <v>16</v>
      </c>
      <c r="C214" s="1854" t="s">
        <v>3263</v>
      </c>
      <c r="D214" s="1854" t="s">
        <v>3264</v>
      </c>
      <c r="E214" s="1854" t="s">
        <v>3265</v>
      </c>
      <c r="F214" s="1854" t="s">
        <v>2599</v>
      </c>
      <c r="G214" s="1854" t="s">
        <v>22</v>
      </c>
      <c r="H214" s="1854" t="s">
        <v>22</v>
      </c>
      <c r="I214" s="1854" t="s">
        <v>1068</v>
      </c>
    </row>
    <row customHeight="1" ht="11.25">
      <c r="A215" s="1854" t="s">
        <v>2542</v>
      </c>
      <c r="B215" s="1854" t="s">
        <v>16</v>
      </c>
      <c r="C215" s="1854" t="s">
        <v>3266</v>
      </c>
      <c r="D215" s="1854" t="s">
        <v>3267</v>
      </c>
      <c r="E215" s="1854" t="s">
        <v>3268</v>
      </c>
      <c r="F215" s="1854" t="s">
        <v>2573</v>
      </c>
      <c r="G215" s="1854" t="s">
        <v>22</v>
      </c>
      <c r="H215" s="1854" t="s">
        <v>22</v>
      </c>
      <c r="I215" s="1854" t="s">
        <v>1068</v>
      </c>
    </row>
    <row customHeight="1" ht="11.25">
      <c r="A216" s="1854" t="s">
        <v>2542</v>
      </c>
      <c r="B216" s="1854" t="s">
        <v>16</v>
      </c>
      <c r="C216" s="1854" t="s">
        <v>3269</v>
      </c>
      <c r="D216" s="1854" t="s">
        <v>3270</v>
      </c>
      <c r="E216" s="1854" t="s">
        <v>3271</v>
      </c>
      <c r="F216" s="1854" t="s">
        <v>2665</v>
      </c>
      <c r="G216" s="1854" t="s">
        <v>22</v>
      </c>
      <c r="H216" s="1854" t="s">
        <v>22</v>
      </c>
      <c r="I216" s="1854" t="s">
        <v>1068</v>
      </c>
    </row>
    <row customHeight="1" ht="11.25">
      <c r="A217" s="1854" t="s">
        <v>2542</v>
      </c>
      <c r="B217" s="1854" t="s">
        <v>16</v>
      </c>
      <c r="C217" s="1854" t="s">
        <v>3272</v>
      </c>
      <c r="D217" s="1854" t="s">
        <v>3273</v>
      </c>
      <c r="E217" s="1854" t="s">
        <v>3274</v>
      </c>
      <c r="F217" s="1854" t="s">
        <v>2973</v>
      </c>
      <c r="G217" s="1854" t="s">
        <v>22</v>
      </c>
      <c r="H217" s="1854" t="s">
        <v>22</v>
      </c>
      <c r="I217" s="1854" t="s">
        <v>1068</v>
      </c>
    </row>
    <row customHeight="1" ht="11.25">
      <c r="A218" s="1854" t="s">
        <v>2542</v>
      </c>
      <c r="B218" s="1854" t="s">
        <v>16</v>
      </c>
      <c r="C218" s="1854" t="s">
        <v>3275</v>
      </c>
      <c r="D218" s="1854" t="s">
        <v>3276</v>
      </c>
      <c r="E218" s="1854" t="s">
        <v>3277</v>
      </c>
      <c r="F218" s="1854" t="s">
        <v>2599</v>
      </c>
      <c r="G218" s="1854" t="s">
        <v>22</v>
      </c>
      <c r="H218" s="1854" t="s">
        <v>22</v>
      </c>
      <c r="I218" s="1854" t="s">
        <v>1068</v>
      </c>
    </row>
    <row customHeight="1" ht="11.25">
      <c r="A219" s="1854" t="s">
        <v>2542</v>
      </c>
      <c r="B219" s="1854" t="s">
        <v>16</v>
      </c>
      <c r="C219" s="1854" t="s">
        <v>3278</v>
      </c>
      <c r="D219" s="1854" t="s">
        <v>3279</v>
      </c>
      <c r="E219" s="1854" t="s">
        <v>3280</v>
      </c>
      <c r="F219" s="1854" t="s">
        <v>2953</v>
      </c>
      <c r="G219" s="1854" t="s">
        <v>22</v>
      </c>
      <c r="H219" s="1854" t="s">
        <v>22</v>
      </c>
      <c r="I219" s="1854" t="s">
        <v>1068</v>
      </c>
    </row>
    <row customHeight="1" ht="11.25">
      <c r="A220" s="1854" t="s">
        <v>2542</v>
      </c>
      <c r="B220" s="1854" t="s">
        <v>16</v>
      </c>
      <c r="C220" s="1854" t="s">
        <v>3281</v>
      </c>
      <c r="D220" s="1854" t="s">
        <v>3282</v>
      </c>
      <c r="E220" s="1854" t="s">
        <v>2853</v>
      </c>
      <c r="F220" s="1854" t="s">
        <v>3283</v>
      </c>
      <c r="G220" s="1854" t="s">
        <v>22</v>
      </c>
      <c r="H220" s="1854" t="s">
        <v>22</v>
      </c>
      <c r="I220" s="1854" t="s">
        <v>1068</v>
      </c>
    </row>
    <row customHeight="1" ht="11.25">
      <c r="A221" s="1854" t="s">
        <v>2542</v>
      </c>
      <c r="B221" s="1854" t="s">
        <v>16</v>
      </c>
      <c r="C221" s="1854" t="s">
        <v>3284</v>
      </c>
      <c r="D221" s="1854" t="s">
        <v>3285</v>
      </c>
      <c r="E221" s="1854" t="s">
        <v>3286</v>
      </c>
      <c r="F221" s="1854" t="s">
        <v>2767</v>
      </c>
      <c r="G221" s="1854" t="s">
        <v>22</v>
      </c>
      <c r="H221" s="1854" t="s">
        <v>22</v>
      </c>
      <c r="I221" s="1854" t="s">
        <v>1068</v>
      </c>
    </row>
    <row customHeight="1" ht="11.25">
      <c r="A222" s="1854" t="s">
        <v>2542</v>
      </c>
      <c r="B222" s="1854" t="s">
        <v>16</v>
      </c>
      <c r="C222" s="1854" t="s">
        <v>3287</v>
      </c>
      <c r="D222" s="1854" t="s">
        <v>3288</v>
      </c>
      <c r="E222" s="1854" t="s">
        <v>3289</v>
      </c>
      <c r="F222" s="1854" t="s">
        <v>2563</v>
      </c>
      <c r="G222" s="1854" t="s">
        <v>22</v>
      </c>
      <c r="H222" s="1854" t="s">
        <v>22</v>
      </c>
      <c r="I222" s="1854" t="s">
        <v>1068</v>
      </c>
    </row>
    <row customHeight="1" ht="11.25">
      <c r="A223" s="1854" t="s">
        <v>2542</v>
      </c>
      <c r="B223" s="1854" t="s">
        <v>16</v>
      </c>
      <c r="C223" s="1854" t="s">
        <v>3290</v>
      </c>
      <c r="D223" s="1854" t="s">
        <v>3291</v>
      </c>
      <c r="E223" s="1854" t="s">
        <v>3292</v>
      </c>
      <c r="F223" s="1854" t="s">
        <v>2620</v>
      </c>
      <c r="G223" s="1854" t="s">
        <v>22</v>
      </c>
      <c r="H223" s="1854" t="s">
        <v>22</v>
      </c>
      <c r="I223" s="1854" t="s">
        <v>1068</v>
      </c>
    </row>
    <row customHeight="1" ht="11.25">
      <c r="A224" s="1854" t="s">
        <v>2542</v>
      </c>
      <c r="B224" s="1854" t="s">
        <v>16</v>
      </c>
      <c r="C224" s="1854" t="s">
        <v>3293</v>
      </c>
      <c r="D224" s="1854" t="s">
        <v>3294</v>
      </c>
      <c r="E224" s="1854" t="s">
        <v>3295</v>
      </c>
      <c r="F224" s="1854" t="s">
        <v>2550</v>
      </c>
      <c r="G224" s="1854" t="s">
        <v>22</v>
      </c>
      <c r="H224" s="1854" t="s">
        <v>22</v>
      </c>
      <c r="I224" s="1854" t="s">
        <v>1068</v>
      </c>
    </row>
    <row customHeight="1" ht="11.25">
      <c r="A225" s="1854" t="s">
        <v>2542</v>
      </c>
      <c r="B225" s="1854" t="s">
        <v>16</v>
      </c>
      <c r="C225" s="1854" t="s">
        <v>3296</v>
      </c>
      <c r="D225" s="1854" t="s">
        <v>3297</v>
      </c>
      <c r="E225" s="1854" t="s">
        <v>3298</v>
      </c>
      <c r="F225" s="1854" t="s">
        <v>2805</v>
      </c>
      <c r="G225" s="1854" t="s">
        <v>22</v>
      </c>
      <c r="H225" s="1854" t="s">
        <v>22</v>
      </c>
      <c r="I225" s="1854" t="s">
        <v>1068</v>
      </c>
    </row>
    <row customHeight="1" ht="11.25">
      <c r="A226" s="1854" t="s">
        <v>2542</v>
      </c>
      <c r="B226" s="1854" t="s">
        <v>16</v>
      </c>
      <c r="C226" s="1854" t="s">
        <v>3299</v>
      </c>
      <c r="D226" s="1854" t="s">
        <v>3300</v>
      </c>
      <c r="E226" s="1854" t="s">
        <v>3301</v>
      </c>
      <c r="F226" s="1854" t="s">
        <v>3302</v>
      </c>
      <c r="G226" s="1854" t="s">
        <v>22</v>
      </c>
      <c r="H226" s="1854" t="s">
        <v>22</v>
      </c>
      <c r="I226" s="1854" t="s">
        <v>1068</v>
      </c>
    </row>
    <row customHeight="1" ht="11.25">
      <c r="A227" s="1854" t="s">
        <v>2542</v>
      </c>
      <c r="B227" s="1854" t="s">
        <v>16</v>
      </c>
      <c r="C227" s="1854" t="s">
        <v>3303</v>
      </c>
      <c r="D227" s="1854" t="s">
        <v>3304</v>
      </c>
      <c r="E227" s="1854" t="s">
        <v>3305</v>
      </c>
      <c r="F227" s="1854" t="s">
        <v>2620</v>
      </c>
      <c r="G227" s="1854" t="s">
        <v>22</v>
      </c>
      <c r="H227" s="1854" t="s">
        <v>22</v>
      </c>
      <c r="I227" s="1854" t="s">
        <v>1068</v>
      </c>
    </row>
    <row customHeight="1" ht="11.25">
      <c r="A228" s="1854" t="s">
        <v>2542</v>
      </c>
      <c r="B228" s="1854" t="s">
        <v>16</v>
      </c>
      <c r="C228" s="1854" t="s">
        <v>3306</v>
      </c>
      <c r="D228" s="1854" t="s">
        <v>3307</v>
      </c>
      <c r="E228" s="1854" t="s">
        <v>3308</v>
      </c>
      <c r="F228" s="1854" t="s">
        <v>3256</v>
      </c>
      <c r="G228" s="1854" t="s">
        <v>22</v>
      </c>
      <c r="H228" s="1854" t="s">
        <v>22</v>
      </c>
      <c r="I228" s="1854" t="s">
        <v>1068</v>
      </c>
    </row>
    <row customHeight="1" ht="11.25">
      <c r="A229" s="1854" t="s">
        <v>2542</v>
      </c>
      <c r="B229" s="1854" t="s">
        <v>16</v>
      </c>
      <c r="C229" s="1854" t="s">
        <v>3309</v>
      </c>
      <c r="D229" s="1854" t="s">
        <v>3310</v>
      </c>
      <c r="E229" s="1854" t="s">
        <v>3311</v>
      </c>
      <c r="F229" s="1854" t="s">
        <v>2844</v>
      </c>
      <c r="G229" s="1854" t="s">
        <v>22</v>
      </c>
      <c r="H229" s="1854" t="s">
        <v>22</v>
      </c>
      <c r="I229" s="1854" t="s">
        <v>1068</v>
      </c>
    </row>
    <row customHeight="1" ht="11.25">
      <c r="A230" s="1854" t="s">
        <v>2542</v>
      </c>
      <c r="B230" s="1854" t="s">
        <v>16</v>
      </c>
      <c r="C230" s="1854" t="s">
        <v>3312</v>
      </c>
      <c r="D230" s="1854" t="s">
        <v>3313</v>
      </c>
      <c r="E230" s="1854" t="s">
        <v>3314</v>
      </c>
      <c r="F230" s="1854" t="s">
        <v>2584</v>
      </c>
      <c r="G230" s="1854" t="s">
        <v>22</v>
      </c>
      <c r="H230" s="1854" t="s">
        <v>22</v>
      </c>
      <c r="I230" s="1854" t="s">
        <v>1068</v>
      </c>
    </row>
    <row customHeight="1" ht="11.25">
      <c r="A231" s="1854" t="s">
        <v>2542</v>
      </c>
      <c r="B231" s="1854" t="s">
        <v>16</v>
      </c>
      <c r="C231" s="1854" t="s">
        <v>3315</v>
      </c>
      <c r="D231" s="1854" t="s">
        <v>3316</v>
      </c>
      <c r="E231" s="1854" t="s">
        <v>3317</v>
      </c>
      <c r="F231" s="1854" t="s">
        <v>2584</v>
      </c>
      <c r="G231" s="1854" t="s">
        <v>22</v>
      </c>
      <c r="H231" s="1854" t="s">
        <v>22</v>
      </c>
      <c r="I231" s="1854" t="s">
        <v>1068</v>
      </c>
    </row>
    <row customHeight="1" ht="11.25">
      <c r="A232" s="1854" t="s">
        <v>2542</v>
      </c>
      <c r="B232" s="1854" t="s">
        <v>16</v>
      </c>
      <c r="C232" s="1854" t="s">
        <v>3318</v>
      </c>
      <c r="D232" s="1854" t="s">
        <v>3319</v>
      </c>
      <c r="E232" s="1854" t="s">
        <v>3320</v>
      </c>
      <c r="F232" s="1854" t="s">
        <v>2665</v>
      </c>
      <c r="G232" s="1854" t="s">
        <v>22</v>
      </c>
      <c r="H232" s="1854" t="s">
        <v>22</v>
      </c>
      <c r="I232" s="1854" t="s">
        <v>1068</v>
      </c>
    </row>
    <row customHeight="1" ht="11.25">
      <c r="A233" s="1854" t="s">
        <v>2542</v>
      </c>
      <c r="B233" s="1854" t="s">
        <v>16</v>
      </c>
      <c r="C233" s="1854" t="s">
        <v>3321</v>
      </c>
      <c r="D233" s="1854" t="s">
        <v>3322</v>
      </c>
      <c r="E233" s="1854" t="s">
        <v>3323</v>
      </c>
      <c r="F233" s="1854" t="s">
        <v>2550</v>
      </c>
      <c r="G233" s="1854" t="s">
        <v>22</v>
      </c>
      <c r="H233" s="1854" t="s">
        <v>22</v>
      </c>
      <c r="I233" s="1854" t="s">
        <v>1068</v>
      </c>
    </row>
    <row customHeight="1" ht="11.25">
      <c r="A234" s="1854" t="s">
        <v>2542</v>
      </c>
      <c r="B234" s="1854" t="s">
        <v>16</v>
      </c>
      <c r="C234" s="1854" t="s">
        <v>3324</v>
      </c>
      <c r="D234" s="1854" t="s">
        <v>3325</v>
      </c>
      <c r="E234" s="1854" t="s">
        <v>2789</v>
      </c>
      <c r="F234" s="1854" t="s">
        <v>2563</v>
      </c>
      <c r="G234" s="1854" t="s">
        <v>22</v>
      </c>
      <c r="H234" s="1854" t="s">
        <v>22</v>
      </c>
      <c r="I234" s="1854" t="s">
        <v>1068</v>
      </c>
    </row>
    <row customHeight="1" ht="11.25">
      <c r="A235" s="1854" t="s">
        <v>2542</v>
      </c>
      <c r="B235" s="1854" t="s">
        <v>16</v>
      </c>
      <c r="C235" s="1854" t="s">
        <v>3326</v>
      </c>
      <c r="D235" s="1854" t="s">
        <v>3327</v>
      </c>
      <c r="E235" s="1854" t="s">
        <v>3328</v>
      </c>
      <c r="F235" s="1854" t="s">
        <v>2665</v>
      </c>
      <c r="G235" s="1854" t="s">
        <v>22</v>
      </c>
      <c r="H235" s="1854" t="s">
        <v>22</v>
      </c>
      <c r="I235" s="1854" t="s">
        <v>1068</v>
      </c>
    </row>
    <row customHeight="1" ht="11.25">
      <c r="A236" s="1854" t="s">
        <v>2542</v>
      </c>
      <c r="B236" s="1854" t="s">
        <v>16</v>
      </c>
      <c r="C236" s="1854" t="s">
        <v>3329</v>
      </c>
      <c r="D236" s="1854" t="s">
        <v>3330</v>
      </c>
      <c r="E236" s="1854" t="s">
        <v>3331</v>
      </c>
      <c r="F236" s="1854" t="s">
        <v>2767</v>
      </c>
      <c r="G236" s="1854" t="s">
        <v>22</v>
      </c>
      <c r="H236" s="1854" t="s">
        <v>22</v>
      </c>
      <c r="I236" s="1854" t="s">
        <v>1068</v>
      </c>
    </row>
    <row customHeight="1" ht="11.25">
      <c r="A237" s="1854" t="s">
        <v>2542</v>
      </c>
      <c r="B237" s="1854" t="s">
        <v>16</v>
      </c>
      <c r="C237" s="1854" t="s">
        <v>3332</v>
      </c>
      <c r="D237" s="1854" t="s">
        <v>3333</v>
      </c>
      <c r="E237" s="1854" t="s">
        <v>3334</v>
      </c>
      <c r="F237" s="1854" t="s">
        <v>2573</v>
      </c>
      <c r="G237" s="1854" t="s">
        <v>22</v>
      </c>
      <c r="H237" s="1854" t="s">
        <v>22</v>
      </c>
      <c r="I237" s="1854" t="s">
        <v>1068</v>
      </c>
    </row>
    <row customHeight="1" ht="11.25">
      <c r="A238" s="1854" t="s">
        <v>2542</v>
      </c>
      <c r="B238" s="1854" t="s">
        <v>16</v>
      </c>
      <c r="C238" s="1854" t="s">
        <v>3335</v>
      </c>
      <c r="D238" s="1854" t="s">
        <v>3336</v>
      </c>
      <c r="E238" s="1854" t="s">
        <v>3337</v>
      </c>
      <c r="F238" s="1854" t="s">
        <v>2573</v>
      </c>
      <c r="G238" s="1854" t="s">
        <v>22</v>
      </c>
      <c r="H238" s="1854" t="s">
        <v>22</v>
      </c>
      <c r="I238" s="1854" t="s">
        <v>1068</v>
      </c>
    </row>
    <row customHeight="1" ht="11.25">
      <c r="A239" s="1854" t="s">
        <v>2542</v>
      </c>
      <c r="B239" s="1854" t="s">
        <v>16</v>
      </c>
      <c r="C239" s="1854" t="s">
        <v>3338</v>
      </c>
      <c r="D239" s="1854" t="s">
        <v>3339</v>
      </c>
      <c r="E239" s="1854" t="s">
        <v>3340</v>
      </c>
      <c r="F239" s="1854" t="s">
        <v>2665</v>
      </c>
      <c r="G239" s="1854" t="s">
        <v>22</v>
      </c>
      <c r="H239" s="1854" t="s">
        <v>22</v>
      </c>
      <c r="I239" s="1854" t="s">
        <v>1068</v>
      </c>
    </row>
    <row customHeight="1" ht="11.25">
      <c r="A240" s="1854" t="s">
        <v>2542</v>
      </c>
      <c r="B240" s="1854" t="s">
        <v>16</v>
      </c>
      <c r="C240" s="1854" t="s">
        <v>3341</v>
      </c>
      <c r="D240" s="1854" t="s">
        <v>3339</v>
      </c>
      <c r="E240" s="1854" t="s">
        <v>3342</v>
      </c>
      <c r="F240" s="1854" t="s">
        <v>2679</v>
      </c>
      <c r="G240" s="1854" t="s">
        <v>3343</v>
      </c>
      <c r="H240" s="1854" t="s">
        <v>22</v>
      </c>
      <c r="I240" s="1854" t="s">
        <v>1068</v>
      </c>
    </row>
    <row customHeight="1" ht="11.25">
      <c r="A241" s="1854" t="s">
        <v>2542</v>
      </c>
      <c r="B241" s="1854" t="s">
        <v>16</v>
      </c>
      <c r="C241" s="1854" t="s">
        <v>3344</v>
      </c>
      <c r="D241" s="1854" t="s">
        <v>3345</v>
      </c>
      <c r="E241" s="1854" t="s">
        <v>3346</v>
      </c>
      <c r="F241" s="1854" t="s">
        <v>2641</v>
      </c>
      <c r="G241" s="1854" t="s">
        <v>22</v>
      </c>
      <c r="H241" s="1854" t="s">
        <v>22</v>
      </c>
      <c r="I241" s="1854" t="s">
        <v>1068</v>
      </c>
    </row>
    <row customHeight="1" ht="11.25">
      <c r="A242" s="1854" t="s">
        <v>2542</v>
      </c>
      <c r="B242" s="1854" t="s">
        <v>16</v>
      </c>
      <c r="C242" s="1854" t="s">
        <v>3347</v>
      </c>
      <c r="D242" s="1854" t="s">
        <v>3348</v>
      </c>
      <c r="E242" s="1854" t="s">
        <v>3349</v>
      </c>
      <c r="F242" s="1854" t="s">
        <v>2573</v>
      </c>
      <c r="G242" s="1854" t="s">
        <v>22</v>
      </c>
      <c r="H242" s="1854" t="s">
        <v>22</v>
      </c>
      <c r="I242" s="1854" t="s">
        <v>1068</v>
      </c>
    </row>
    <row customHeight="1" ht="11.25">
      <c r="A243" s="1854" t="s">
        <v>2542</v>
      </c>
      <c r="B243" s="1854" t="s">
        <v>16</v>
      </c>
      <c r="C243" s="1854" t="s">
        <v>3350</v>
      </c>
      <c r="D243" s="1854" t="s">
        <v>3351</v>
      </c>
      <c r="E243" s="1854" t="s">
        <v>3352</v>
      </c>
      <c r="F243" s="1854" t="s">
        <v>2573</v>
      </c>
      <c r="G243" s="1854" t="s">
        <v>22</v>
      </c>
      <c r="H243" s="1854" t="s">
        <v>22</v>
      </c>
      <c r="I243" s="1854" t="s">
        <v>1068</v>
      </c>
    </row>
    <row customHeight="1" ht="11.25">
      <c r="A244" s="1854" t="s">
        <v>2542</v>
      </c>
      <c r="B244" s="1854" t="s">
        <v>16</v>
      </c>
      <c r="C244" s="1854" t="s">
        <v>3353</v>
      </c>
      <c r="D244" s="1854" t="s">
        <v>3354</v>
      </c>
      <c r="E244" s="1854" t="s">
        <v>3355</v>
      </c>
      <c r="F244" s="1854" t="s">
        <v>2573</v>
      </c>
      <c r="G244" s="1854" t="s">
        <v>22</v>
      </c>
      <c r="H244" s="1854" t="s">
        <v>22</v>
      </c>
      <c r="I244" s="1854" t="s">
        <v>1068</v>
      </c>
    </row>
    <row customHeight="1" ht="11.25">
      <c r="A245" s="1854" t="s">
        <v>2542</v>
      </c>
      <c r="B245" s="1854" t="s">
        <v>16</v>
      </c>
      <c r="C245" s="1854" t="s">
        <v>3356</v>
      </c>
      <c r="D245" s="1854" t="s">
        <v>3357</v>
      </c>
      <c r="E245" s="1854" t="s">
        <v>3358</v>
      </c>
      <c r="F245" s="1854" t="s">
        <v>2821</v>
      </c>
      <c r="G245" s="1854" t="s">
        <v>22</v>
      </c>
      <c r="H245" s="1854" t="s">
        <v>22</v>
      </c>
      <c r="I245" s="1854" t="s">
        <v>1068</v>
      </c>
    </row>
    <row customHeight="1" ht="11.25">
      <c r="A246" s="1854" t="s">
        <v>2542</v>
      </c>
      <c r="B246" s="1854" t="s">
        <v>16</v>
      </c>
      <c r="C246" s="1854" t="s">
        <v>3359</v>
      </c>
      <c r="D246" s="1854" t="s">
        <v>3357</v>
      </c>
      <c r="E246" s="1854" t="s">
        <v>3360</v>
      </c>
      <c r="F246" s="1854" t="s">
        <v>2844</v>
      </c>
      <c r="G246" s="1854" t="s">
        <v>22</v>
      </c>
      <c r="H246" s="1854" t="s">
        <v>22</v>
      </c>
      <c r="I246" s="1854" t="s">
        <v>1068</v>
      </c>
    </row>
    <row customHeight="1" ht="11.25">
      <c r="A247" s="1854" t="s">
        <v>2542</v>
      </c>
      <c r="B247" s="1854" t="s">
        <v>16</v>
      </c>
      <c r="C247" s="1854" t="s">
        <v>3361</v>
      </c>
      <c r="D247" s="1854" t="s">
        <v>3362</v>
      </c>
      <c r="E247" s="1854" t="s">
        <v>3363</v>
      </c>
      <c r="F247" s="1854" t="s">
        <v>3364</v>
      </c>
      <c r="G247" s="1854" t="s">
        <v>22</v>
      </c>
      <c r="H247" s="1854" t="s">
        <v>22</v>
      </c>
      <c r="I247" s="1854" t="s">
        <v>1068</v>
      </c>
    </row>
    <row customHeight="1" ht="11.25">
      <c r="A248" s="1854" t="s">
        <v>2542</v>
      </c>
      <c r="B248" s="1854" t="s">
        <v>16</v>
      </c>
      <c r="C248" s="1854" t="s">
        <v>3365</v>
      </c>
      <c r="D248" s="1854" t="s">
        <v>3366</v>
      </c>
      <c r="E248" s="1854" t="s">
        <v>3367</v>
      </c>
      <c r="F248" s="1854" t="s">
        <v>50</v>
      </c>
      <c r="G248" s="1854" t="s">
        <v>22</v>
      </c>
      <c r="H248" s="1854" t="s">
        <v>22</v>
      </c>
      <c r="I248" s="1854" t="s">
        <v>1068</v>
      </c>
    </row>
    <row customHeight="1" ht="11.25">
      <c r="A249" s="1854" t="s">
        <v>2542</v>
      </c>
      <c r="B249" s="1854" t="s">
        <v>16</v>
      </c>
      <c r="C249" s="1854" t="s">
        <v>3368</v>
      </c>
      <c r="D249" s="1854" t="s">
        <v>3369</v>
      </c>
      <c r="E249" s="1854" t="s">
        <v>3370</v>
      </c>
      <c r="F249" s="1854" t="s">
        <v>2577</v>
      </c>
      <c r="G249" s="1854" t="s">
        <v>22</v>
      </c>
      <c r="H249" s="1854" t="s">
        <v>3371</v>
      </c>
      <c r="I249" s="1854" t="s">
        <v>1068</v>
      </c>
    </row>
    <row customHeight="1" ht="11.25">
      <c r="A250" s="1854" t="s">
        <v>2542</v>
      </c>
      <c r="B250" s="1854" t="s">
        <v>16</v>
      </c>
      <c r="C250" s="1854" t="s">
        <v>3372</v>
      </c>
      <c r="D250" s="1854" t="s">
        <v>3373</v>
      </c>
      <c r="E250" s="1854" t="s">
        <v>3374</v>
      </c>
      <c r="F250" s="1854" t="s">
        <v>2591</v>
      </c>
      <c r="G250" s="1854" t="s">
        <v>22</v>
      </c>
      <c r="H250" s="1854" t="s">
        <v>22</v>
      </c>
      <c r="I250" s="1854" t="s">
        <v>1068</v>
      </c>
    </row>
    <row customHeight="1" ht="11.25">
      <c r="A251" s="1854" t="s">
        <v>2542</v>
      </c>
      <c r="B251" s="1854" t="s">
        <v>16</v>
      </c>
      <c r="C251" s="1854" t="s">
        <v>3375</v>
      </c>
      <c r="D251" s="1854" t="s">
        <v>3376</v>
      </c>
      <c r="E251" s="1854" t="s">
        <v>3377</v>
      </c>
      <c r="F251" s="1854" t="s">
        <v>2917</v>
      </c>
      <c r="G251" s="1854" t="s">
        <v>22</v>
      </c>
      <c r="H251" s="1854" t="s">
        <v>22</v>
      </c>
      <c r="I251" s="1854" t="s">
        <v>1068</v>
      </c>
    </row>
    <row customHeight="1" ht="11.25">
      <c r="A252" s="1854" t="s">
        <v>2542</v>
      </c>
      <c r="B252" s="1854" t="s">
        <v>16</v>
      </c>
      <c r="C252" s="1854" t="s">
        <v>3378</v>
      </c>
      <c r="D252" s="1854" t="s">
        <v>3379</v>
      </c>
      <c r="E252" s="1854" t="s">
        <v>3380</v>
      </c>
      <c r="F252" s="1854" t="s">
        <v>50</v>
      </c>
      <c r="G252" s="1854" t="s">
        <v>3381</v>
      </c>
      <c r="H252" s="1854" t="s">
        <v>22</v>
      </c>
      <c r="I252" s="1854" t="s">
        <v>1068</v>
      </c>
    </row>
    <row customHeight="1" ht="11.25">
      <c r="A253" s="1854" t="s">
        <v>2542</v>
      </c>
      <c r="B253" s="1854" t="s">
        <v>16</v>
      </c>
      <c r="C253" s="1854" t="s">
        <v>3382</v>
      </c>
      <c r="D253" s="1854" t="s">
        <v>3383</v>
      </c>
      <c r="E253" s="1854" t="s">
        <v>3384</v>
      </c>
      <c r="F253" s="1854" t="s">
        <v>2828</v>
      </c>
      <c r="G253" s="1854" t="s">
        <v>22</v>
      </c>
      <c r="H253" s="1854" t="s">
        <v>22</v>
      </c>
      <c r="I253" s="1854" t="s">
        <v>1068</v>
      </c>
    </row>
    <row customHeight="1" ht="11.25">
      <c r="A254" s="1854" t="s">
        <v>2542</v>
      </c>
      <c r="B254" s="1854" t="s">
        <v>16</v>
      </c>
      <c r="C254" s="1854" t="s">
        <v>3385</v>
      </c>
      <c r="D254" s="1854" t="s">
        <v>3383</v>
      </c>
      <c r="E254" s="1854" t="s">
        <v>3386</v>
      </c>
      <c r="F254" s="1854" t="s">
        <v>2984</v>
      </c>
      <c r="G254" s="1854" t="s">
        <v>22</v>
      </c>
      <c r="H254" s="1854" t="s">
        <v>22</v>
      </c>
      <c r="I254" s="1854" t="s">
        <v>1068</v>
      </c>
    </row>
    <row customHeight="1" ht="11.25">
      <c r="A255" s="1854" t="s">
        <v>2542</v>
      </c>
      <c r="B255" s="1854" t="s">
        <v>16</v>
      </c>
      <c r="C255" s="1854" t="s">
        <v>3387</v>
      </c>
      <c r="D255" s="1854" t="s">
        <v>3388</v>
      </c>
      <c r="E255" s="1854" t="s">
        <v>3389</v>
      </c>
      <c r="F255" s="1854" t="s">
        <v>2558</v>
      </c>
      <c r="G255" s="1854" t="s">
        <v>22</v>
      </c>
      <c r="H255" s="1854" t="s">
        <v>22</v>
      </c>
      <c r="I255" s="1854" t="s">
        <v>1068</v>
      </c>
    </row>
    <row customHeight="1" ht="11.25">
      <c r="A256" s="1854" t="s">
        <v>2542</v>
      </c>
      <c r="B256" s="1854" t="s">
        <v>16</v>
      </c>
      <c r="C256" s="1854" t="s">
        <v>3390</v>
      </c>
      <c r="D256" s="1854" t="s">
        <v>3391</v>
      </c>
      <c r="E256" s="1854" t="s">
        <v>3392</v>
      </c>
      <c r="F256" s="1854" t="s">
        <v>2813</v>
      </c>
      <c r="G256" s="1854" t="s">
        <v>22</v>
      </c>
      <c r="H256" s="1854" t="s">
        <v>22</v>
      </c>
      <c r="I256" s="1854" t="s">
        <v>1068</v>
      </c>
    </row>
    <row customHeight="1" ht="11.25">
      <c r="A257" s="1854" t="s">
        <v>2542</v>
      </c>
      <c r="B257" s="1854" t="s">
        <v>16</v>
      </c>
      <c r="C257" s="1854" t="s">
        <v>3393</v>
      </c>
      <c r="D257" s="1854" t="s">
        <v>3394</v>
      </c>
      <c r="E257" s="1854" t="s">
        <v>3395</v>
      </c>
      <c r="F257" s="1854" t="s">
        <v>2550</v>
      </c>
      <c r="G257" s="1854" t="s">
        <v>22</v>
      </c>
      <c r="H257" s="1854" t="s">
        <v>22</v>
      </c>
      <c r="I257" s="1854" t="s">
        <v>1068</v>
      </c>
    </row>
    <row customHeight="1" ht="11.25">
      <c r="A258" s="1854" t="s">
        <v>2542</v>
      </c>
      <c r="B258" s="1854" t="s">
        <v>16</v>
      </c>
      <c r="C258" s="1854" t="s">
        <v>3396</v>
      </c>
      <c r="D258" s="1854" t="s">
        <v>3397</v>
      </c>
      <c r="E258" s="1854" t="s">
        <v>3398</v>
      </c>
      <c r="F258" s="1854" t="s">
        <v>2844</v>
      </c>
      <c r="G258" s="1854" t="s">
        <v>22</v>
      </c>
      <c r="H258" s="1854" t="s">
        <v>22</v>
      </c>
      <c r="I258" s="1854" t="s">
        <v>1068</v>
      </c>
    </row>
    <row customHeight="1" ht="11.25">
      <c r="A259" s="1854" t="s">
        <v>2542</v>
      </c>
      <c r="B259" s="1854" t="s">
        <v>16</v>
      </c>
      <c r="C259" s="1854" t="s">
        <v>3399</v>
      </c>
      <c r="D259" s="1854" t="s">
        <v>3400</v>
      </c>
      <c r="E259" s="1854" t="s">
        <v>3401</v>
      </c>
      <c r="F259" s="1854" t="s">
        <v>3402</v>
      </c>
      <c r="G259" s="1854" t="s">
        <v>22</v>
      </c>
      <c r="H259" s="1854" t="s">
        <v>22</v>
      </c>
      <c r="I259" s="1854" t="s">
        <v>1068</v>
      </c>
    </row>
    <row customHeight="1" ht="11.25">
      <c r="A260" s="1854" t="s">
        <v>2542</v>
      </c>
      <c r="B260" s="1854" t="s">
        <v>16</v>
      </c>
      <c r="C260" s="1854" t="s">
        <v>3403</v>
      </c>
      <c r="D260" s="1854" t="s">
        <v>3404</v>
      </c>
      <c r="E260" s="1854" t="s">
        <v>3405</v>
      </c>
      <c r="F260" s="1854" t="s">
        <v>2767</v>
      </c>
      <c r="G260" s="1854" t="s">
        <v>22</v>
      </c>
      <c r="H260" s="1854" t="s">
        <v>22</v>
      </c>
      <c r="I260" s="1854" t="s">
        <v>1068</v>
      </c>
    </row>
    <row customHeight="1" ht="11.25">
      <c r="A261" s="1854" t="s">
        <v>2542</v>
      </c>
      <c r="B261" s="1854" t="s">
        <v>16</v>
      </c>
      <c r="C261" s="1854" t="s">
        <v>3406</v>
      </c>
      <c r="D261" s="1854" t="s">
        <v>3407</v>
      </c>
      <c r="E261" s="1854" t="s">
        <v>3408</v>
      </c>
      <c r="F261" s="1854" t="s">
        <v>2610</v>
      </c>
      <c r="G261" s="1854" t="s">
        <v>22</v>
      </c>
      <c r="H261" s="1854" t="s">
        <v>22</v>
      </c>
      <c r="I261" s="1854" t="s">
        <v>1068</v>
      </c>
    </row>
    <row customHeight="1" ht="11.25">
      <c r="A262" s="1854" t="s">
        <v>2542</v>
      </c>
      <c r="B262" s="1854" t="s">
        <v>16</v>
      </c>
      <c r="C262" s="1854" t="s">
        <v>3409</v>
      </c>
      <c r="D262" s="1854" t="s">
        <v>3410</v>
      </c>
      <c r="E262" s="1854" t="s">
        <v>3411</v>
      </c>
      <c r="F262" s="1854" t="s">
        <v>2973</v>
      </c>
      <c r="G262" s="1854" t="s">
        <v>22</v>
      </c>
      <c r="H262" s="1854" t="s">
        <v>22</v>
      </c>
      <c r="I262" s="1854" t="s">
        <v>1068</v>
      </c>
    </row>
    <row customHeight="1" ht="11.25">
      <c r="A263" s="1854" t="s">
        <v>2542</v>
      </c>
      <c r="B263" s="1854" t="s">
        <v>16</v>
      </c>
      <c r="C263" s="1854" t="s">
        <v>3412</v>
      </c>
      <c r="D263" s="1854" t="s">
        <v>3413</v>
      </c>
      <c r="E263" s="1854" t="s">
        <v>3414</v>
      </c>
      <c r="F263" s="1854" t="s">
        <v>2550</v>
      </c>
      <c r="G263" s="1854" t="s">
        <v>22</v>
      </c>
      <c r="H263" s="1854" t="s">
        <v>22</v>
      </c>
      <c r="I263" s="1854" t="s">
        <v>1068</v>
      </c>
    </row>
    <row customHeight="1" ht="11.25">
      <c r="A264" s="1854" t="s">
        <v>2542</v>
      </c>
      <c r="B264" s="1854" t="s">
        <v>16</v>
      </c>
      <c r="C264" s="1854" t="s">
        <v>3415</v>
      </c>
      <c r="D264" s="1854" t="s">
        <v>3416</v>
      </c>
      <c r="E264" s="1854" t="s">
        <v>3417</v>
      </c>
      <c r="F264" s="1854" t="s">
        <v>2550</v>
      </c>
      <c r="G264" s="1854" t="s">
        <v>22</v>
      </c>
      <c r="H264" s="1854" t="s">
        <v>22</v>
      </c>
      <c r="I264" s="1854" t="s">
        <v>1068</v>
      </c>
    </row>
    <row customHeight="1" ht="11.25">
      <c r="A265" s="1854" t="s">
        <v>2542</v>
      </c>
      <c r="B265" s="1854" t="s">
        <v>16</v>
      </c>
      <c r="C265" s="1854" t="s">
        <v>3418</v>
      </c>
      <c r="D265" s="1854" t="s">
        <v>3419</v>
      </c>
      <c r="E265" s="1854" t="s">
        <v>3420</v>
      </c>
      <c r="F265" s="1854" t="s">
        <v>2767</v>
      </c>
      <c r="G265" s="1854" t="s">
        <v>22</v>
      </c>
      <c r="H265" s="1854" t="s">
        <v>22</v>
      </c>
      <c r="I265" s="1854" t="s">
        <v>1068</v>
      </c>
    </row>
    <row customHeight="1" ht="11.25">
      <c r="A266" s="1854" t="s">
        <v>2542</v>
      </c>
      <c r="B266" s="1854" t="s">
        <v>16</v>
      </c>
      <c r="C266" s="1854" t="s">
        <v>3421</v>
      </c>
      <c r="D266" s="1854" t="s">
        <v>3422</v>
      </c>
      <c r="E266" s="1854" t="s">
        <v>3423</v>
      </c>
      <c r="F266" s="1854" t="s">
        <v>2606</v>
      </c>
      <c r="G266" s="1854" t="s">
        <v>22</v>
      </c>
      <c r="H266" s="1854" t="s">
        <v>22</v>
      </c>
      <c r="I266" s="1854" t="s">
        <v>1068</v>
      </c>
    </row>
    <row customHeight="1" ht="11.25">
      <c r="A267" s="1854" t="s">
        <v>2542</v>
      </c>
      <c r="B267" s="1854" t="s">
        <v>16</v>
      </c>
      <c r="C267" s="1854" t="s">
        <v>3424</v>
      </c>
      <c r="D267" s="1854" t="s">
        <v>3425</v>
      </c>
      <c r="E267" s="1854" t="s">
        <v>3426</v>
      </c>
      <c r="F267" s="1854" t="s">
        <v>2620</v>
      </c>
      <c r="G267" s="1854" t="s">
        <v>22</v>
      </c>
      <c r="H267" s="1854" t="s">
        <v>22</v>
      </c>
      <c r="I267" s="1854" t="s">
        <v>1068</v>
      </c>
    </row>
    <row customHeight="1" ht="11.25">
      <c r="A268" s="1854" t="s">
        <v>2542</v>
      </c>
      <c r="B268" s="1854" t="s">
        <v>16</v>
      </c>
      <c r="C268" s="1854" t="s">
        <v>3427</v>
      </c>
      <c r="D268" s="1854" t="s">
        <v>3428</v>
      </c>
      <c r="E268" s="1854" t="s">
        <v>3429</v>
      </c>
      <c r="F268" s="1854" t="s">
        <v>2743</v>
      </c>
      <c r="G268" s="1854" t="s">
        <v>22</v>
      </c>
      <c r="H268" s="1854" t="s">
        <v>22</v>
      </c>
      <c r="I268" s="1854" t="s">
        <v>1068</v>
      </c>
    </row>
    <row customHeight="1" ht="11.25">
      <c r="A269" s="1854" t="s">
        <v>2542</v>
      </c>
      <c r="B269" s="1854" t="s">
        <v>16</v>
      </c>
      <c r="C269" s="1854" t="s">
        <v>3430</v>
      </c>
      <c r="D269" s="1854" t="s">
        <v>3431</v>
      </c>
      <c r="E269" s="1854" t="s">
        <v>3432</v>
      </c>
      <c r="F269" s="1854" t="s">
        <v>2743</v>
      </c>
      <c r="G269" s="1854" t="s">
        <v>22</v>
      </c>
      <c r="H269" s="1854" t="s">
        <v>22</v>
      </c>
      <c r="I269" s="1854" t="s">
        <v>1068</v>
      </c>
    </row>
    <row customHeight="1" ht="11.25">
      <c r="A270" s="1854" t="s">
        <v>2542</v>
      </c>
      <c r="B270" s="1854" t="s">
        <v>16</v>
      </c>
      <c r="C270" s="1854" t="s">
        <v>3433</v>
      </c>
      <c r="D270" s="1854" t="s">
        <v>3434</v>
      </c>
      <c r="E270" s="1854" t="s">
        <v>3435</v>
      </c>
      <c r="F270" s="1854" t="s">
        <v>2844</v>
      </c>
      <c r="G270" s="1854" t="s">
        <v>3436</v>
      </c>
      <c r="H270" s="1854" t="s">
        <v>22</v>
      </c>
      <c r="I270" s="1854" t="s">
        <v>1068</v>
      </c>
    </row>
    <row customHeight="1" ht="11.25">
      <c r="A271" s="1854" t="s">
        <v>2542</v>
      </c>
      <c r="B271" s="1854" t="s">
        <v>16</v>
      </c>
      <c r="C271" s="1854" t="s">
        <v>3437</v>
      </c>
      <c r="D271" s="1854" t="s">
        <v>3438</v>
      </c>
      <c r="E271" s="1854" t="s">
        <v>3439</v>
      </c>
      <c r="F271" s="1854" t="s">
        <v>2558</v>
      </c>
      <c r="G271" s="1854" t="s">
        <v>22</v>
      </c>
      <c r="H271" s="1854" t="s">
        <v>22</v>
      </c>
      <c r="I271" s="1854" t="s">
        <v>1068</v>
      </c>
    </row>
    <row customHeight="1" ht="11.25">
      <c r="A272" s="1854" t="s">
        <v>2542</v>
      </c>
      <c r="B272" s="1854" t="s">
        <v>16</v>
      </c>
      <c r="C272" s="1854" t="s">
        <v>3440</v>
      </c>
      <c r="D272" s="1854" t="s">
        <v>3441</v>
      </c>
      <c r="E272" s="1854" t="s">
        <v>3442</v>
      </c>
      <c r="F272" s="1854" t="s">
        <v>2767</v>
      </c>
      <c r="G272" s="1854" t="s">
        <v>22</v>
      </c>
      <c r="H272" s="1854" t="s">
        <v>22</v>
      </c>
      <c r="I272" s="1854" t="s">
        <v>1068</v>
      </c>
    </row>
    <row customHeight="1" ht="11.25">
      <c r="A273" s="1854" t="s">
        <v>2542</v>
      </c>
      <c r="B273" s="1854" t="s">
        <v>16</v>
      </c>
      <c r="C273" s="1854" t="s">
        <v>3443</v>
      </c>
      <c r="D273" s="1854" t="s">
        <v>3444</v>
      </c>
      <c r="E273" s="1854" t="s">
        <v>3445</v>
      </c>
      <c r="F273" s="1854" t="s">
        <v>2573</v>
      </c>
      <c r="G273" s="1854" t="s">
        <v>3446</v>
      </c>
      <c r="H273" s="1854" t="s">
        <v>22</v>
      </c>
      <c r="I273" s="1854" t="s">
        <v>1068</v>
      </c>
    </row>
    <row customHeight="1" ht="11.25">
      <c r="A274" s="1854" t="s">
        <v>2542</v>
      </c>
      <c r="B274" s="1854" t="s">
        <v>16</v>
      </c>
      <c r="C274" s="1854" t="s">
        <v>3447</v>
      </c>
      <c r="D274" s="1854" t="s">
        <v>3448</v>
      </c>
      <c r="E274" s="1854" t="s">
        <v>3449</v>
      </c>
      <c r="F274" s="1854" t="s">
        <v>2573</v>
      </c>
      <c r="G274" s="1854" t="s">
        <v>22</v>
      </c>
      <c r="H274" s="1854" t="s">
        <v>22</v>
      </c>
      <c r="I274" s="1854" t="s">
        <v>1068</v>
      </c>
    </row>
    <row customHeight="1" ht="11.25">
      <c r="A275" s="1854" t="s">
        <v>2542</v>
      </c>
      <c r="B275" s="1854" t="s">
        <v>16</v>
      </c>
      <c r="C275" s="1854" t="s">
        <v>3450</v>
      </c>
      <c r="D275" s="1854" t="s">
        <v>3451</v>
      </c>
      <c r="E275" s="1854" t="s">
        <v>3452</v>
      </c>
      <c r="F275" s="1854" t="s">
        <v>3256</v>
      </c>
      <c r="G275" s="1854" t="s">
        <v>22</v>
      </c>
      <c r="H275" s="1854" t="s">
        <v>22</v>
      </c>
      <c r="I275" s="1854" t="s">
        <v>1068</v>
      </c>
    </row>
    <row customHeight="1" ht="11.25">
      <c r="A276" s="1854" t="s">
        <v>2542</v>
      </c>
      <c r="B276" s="1854" t="s">
        <v>16</v>
      </c>
      <c r="C276" s="1854" t="s">
        <v>3453</v>
      </c>
      <c r="D276" s="1854" t="s">
        <v>3454</v>
      </c>
      <c r="E276" s="1854" t="s">
        <v>3455</v>
      </c>
      <c r="F276" s="1854" t="s">
        <v>2550</v>
      </c>
      <c r="G276" s="1854" t="s">
        <v>22</v>
      </c>
      <c r="H276" s="1854" t="s">
        <v>22</v>
      </c>
      <c r="I276" s="1854" t="s">
        <v>1068</v>
      </c>
    </row>
    <row customHeight="1" ht="11.25">
      <c r="A277" s="1854" t="s">
        <v>2542</v>
      </c>
      <c r="B277" s="1854" t="s">
        <v>16</v>
      </c>
      <c r="C277" s="1854" t="s">
        <v>3456</v>
      </c>
      <c r="D277" s="1854" t="s">
        <v>3457</v>
      </c>
      <c r="E277" s="1854" t="s">
        <v>3458</v>
      </c>
      <c r="F277" s="1854" t="s">
        <v>2679</v>
      </c>
      <c r="G277" s="1854" t="s">
        <v>22</v>
      </c>
      <c r="H277" s="1854" t="s">
        <v>22</v>
      </c>
      <c r="I277" s="1854" t="s">
        <v>1068</v>
      </c>
    </row>
    <row customHeight="1" ht="11.25">
      <c r="A278" s="1854" t="s">
        <v>2542</v>
      </c>
      <c r="B278" s="1854" t="s">
        <v>16</v>
      </c>
      <c r="C278" s="1854" t="s">
        <v>3459</v>
      </c>
      <c r="D278" s="1854" t="s">
        <v>3460</v>
      </c>
      <c r="E278" s="1854" t="s">
        <v>3461</v>
      </c>
      <c r="F278" s="1854" t="s">
        <v>2679</v>
      </c>
      <c r="G278" s="1854" t="s">
        <v>3462</v>
      </c>
      <c r="H278" s="1854" t="s">
        <v>22</v>
      </c>
      <c r="I278" s="1854" t="s">
        <v>1068</v>
      </c>
    </row>
    <row customHeight="1" ht="11.25">
      <c r="A279" s="1854" t="s">
        <v>2542</v>
      </c>
      <c r="B279" s="1854" t="s">
        <v>16</v>
      </c>
      <c r="C279" s="1854" t="s">
        <v>3463</v>
      </c>
      <c r="D279" s="1854" t="s">
        <v>3464</v>
      </c>
      <c r="E279" s="1854" t="s">
        <v>3465</v>
      </c>
      <c r="F279" s="1854" t="s">
        <v>2584</v>
      </c>
      <c r="G279" s="1854" t="s">
        <v>22</v>
      </c>
      <c r="H279" s="1854" t="s">
        <v>22</v>
      </c>
      <c r="I279" s="1854" t="s">
        <v>1068</v>
      </c>
    </row>
    <row customHeight="1" ht="11.25">
      <c r="A280" s="1854" t="s">
        <v>2542</v>
      </c>
      <c r="B280" s="1854" t="s">
        <v>16</v>
      </c>
      <c r="C280" s="1854" t="s">
        <v>3466</v>
      </c>
      <c r="D280" s="1854" t="s">
        <v>3467</v>
      </c>
      <c r="E280" s="1854" t="s">
        <v>3468</v>
      </c>
      <c r="F280" s="1854" t="s">
        <v>3109</v>
      </c>
      <c r="G280" s="1854" t="s">
        <v>22</v>
      </c>
      <c r="H280" s="1854" t="s">
        <v>22</v>
      </c>
      <c r="I280" s="1854" t="s">
        <v>1068</v>
      </c>
    </row>
    <row customHeight="1" ht="11.25">
      <c r="A281" s="1854" t="s">
        <v>2542</v>
      </c>
      <c r="B281" s="1854" t="s">
        <v>16</v>
      </c>
      <c r="C281" s="1854" t="s">
        <v>3469</v>
      </c>
      <c r="D281" s="1854" t="s">
        <v>3470</v>
      </c>
      <c r="E281" s="1854" t="s">
        <v>3471</v>
      </c>
      <c r="F281" s="1854" t="s">
        <v>2550</v>
      </c>
      <c r="G281" s="1854" t="s">
        <v>22</v>
      </c>
      <c r="H281" s="1854" t="s">
        <v>22</v>
      </c>
      <c r="I281" s="1854" t="s">
        <v>1068</v>
      </c>
    </row>
    <row customHeight="1" ht="11.25">
      <c r="A282" s="1854" t="s">
        <v>2542</v>
      </c>
      <c r="B282" s="1854" t="s">
        <v>16</v>
      </c>
      <c r="C282" s="1854" t="s">
        <v>3472</v>
      </c>
      <c r="D282" s="1854" t="s">
        <v>3473</v>
      </c>
      <c r="E282" s="1854" t="s">
        <v>3474</v>
      </c>
      <c r="F282" s="1854" t="s">
        <v>3052</v>
      </c>
      <c r="G282" s="1854" t="s">
        <v>22</v>
      </c>
      <c r="H282" s="1854" t="s">
        <v>22</v>
      </c>
      <c r="I282" s="1854" t="s">
        <v>1068</v>
      </c>
    </row>
    <row customHeight="1" ht="11.25">
      <c r="A283" s="1854" t="s">
        <v>2542</v>
      </c>
      <c r="B283" s="1854" t="s">
        <v>16</v>
      </c>
      <c r="C283" s="1854" t="s">
        <v>3475</v>
      </c>
      <c r="D283" s="1854" t="s">
        <v>3476</v>
      </c>
      <c r="E283" s="1854" t="s">
        <v>3477</v>
      </c>
      <c r="F283" s="1854" t="s">
        <v>3052</v>
      </c>
      <c r="G283" s="1854" t="s">
        <v>3478</v>
      </c>
      <c r="H283" s="1854" t="s">
        <v>22</v>
      </c>
      <c r="I283" s="1854" t="s">
        <v>1068</v>
      </c>
    </row>
    <row customHeight="1" ht="11.25">
      <c r="A284" s="1854" t="s">
        <v>2542</v>
      </c>
      <c r="B284" s="1854" t="s">
        <v>16</v>
      </c>
      <c r="C284" s="1854" t="s">
        <v>3479</v>
      </c>
      <c r="D284" s="1854" t="s">
        <v>3480</v>
      </c>
      <c r="E284" s="1854" t="s">
        <v>3481</v>
      </c>
      <c r="F284" s="1854" t="s">
        <v>2794</v>
      </c>
      <c r="G284" s="1854" t="s">
        <v>3482</v>
      </c>
      <c r="H284" s="1854" t="s">
        <v>22</v>
      </c>
      <c r="I284" s="1854" t="s">
        <v>1068</v>
      </c>
    </row>
    <row customHeight="1" ht="11.25">
      <c r="A285" s="1854" t="s">
        <v>2542</v>
      </c>
      <c r="B285" s="1854" t="s">
        <v>16</v>
      </c>
      <c r="C285" s="1854" t="s">
        <v>3483</v>
      </c>
      <c r="D285" s="1854" t="s">
        <v>3484</v>
      </c>
      <c r="E285" s="1854" t="s">
        <v>3485</v>
      </c>
      <c r="F285" s="1854" t="s">
        <v>2679</v>
      </c>
      <c r="G285" s="1854" t="s">
        <v>22</v>
      </c>
      <c r="H285" s="1854" t="s">
        <v>22</v>
      </c>
      <c r="I285" s="1854" t="s">
        <v>1068</v>
      </c>
    </row>
    <row customHeight="1" ht="11.25">
      <c r="A286" s="1854" t="s">
        <v>2542</v>
      </c>
      <c r="B286" s="1854" t="s">
        <v>16</v>
      </c>
      <c r="C286" s="1854" t="s">
        <v>3486</v>
      </c>
      <c r="D286" s="1854" t="s">
        <v>3487</v>
      </c>
      <c r="E286" s="1854" t="s">
        <v>3488</v>
      </c>
      <c r="F286" s="1854" t="s">
        <v>2828</v>
      </c>
      <c r="G286" s="1854" t="s">
        <v>22</v>
      </c>
      <c r="H286" s="1854" t="s">
        <v>22</v>
      </c>
      <c r="I286" s="1854" t="s">
        <v>1068</v>
      </c>
    </row>
    <row customHeight="1" ht="11.25">
      <c r="A287" s="1854" t="s">
        <v>2542</v>
      </c>
      <c r="B287" s="1854" t="s">
        <v>16</v>
      </c>
      <c r="C287" s="1854" t="s">
        <v>3489</v>
      </c>
      <c r="D287" s="1854" t="s">
        <v>3490</v>
      </c>
      <c r="E287" s="1854" t="s">
        <v>3491</v>
      </c>
      <c r="F287" s="1854" t="s">
        <v>2995</v>
      </c>
      <c r="G287" s="1854" t="s">
        <v>22</v>
      </c>
      <c r="H287" s="1854" t="s">
        <v>22</v>
      </c>
      <c r="I287" s="1854" t="s">
        <v>1068</v>
      </c>
    </row>
    <row customHeight="1" ht="11.25">
      <c r="A288" s="1854" t="s">
        <v>2542</v>
      </c>
      <c r="B288" s="1854" t="s">
        <v>16</v>
      </c>
      <c r="C288" s="1854" t="s">
        <v>3492</v>
      </c>
      <c r="D288" s="1854" t="s">
        <v>3493</v>
      </c>
      <c r="E288" s="1854" t="s">
        <v>3494</v>
      </c>
      <c r="F288" s="1854" t="s">
        <v>2558</v>
      </c>
      <c r="G288" s="1854" t="s">
        <v>22</v>
      </c>
      <c r="H288" s="1854" t="s">
        <v>22</v>
      </c>
      <c r="I288" s="1854" t="s">
        <v>1068</v>
      </c>
    </row>
    <row customHeight="1" ht="11.25">
      <c r="A289" s="1854" t="s">
        <v>2542</v>
      </c>
      <c r="B289" s="1854" t="s">
        <v>16</v>
      </c>
      <c r="C289" s="1854" t="s">
        <v>3495</v>
      </c>
      <c r="D289" s="1854" t="s">
        <v>3496</v>
      </c>
      <c r="E289" s="1854" t="s">
        <v>3497</v>
      </c>
      <c r="F289" s="1854" t="s">
        <v>3498</v>
      </c>
      <c r="G289" s="1854" t="s">
        <v>22</v>
      </c>
      <c r="H289" s="1854" t="s">
        <v>22</v>
      </c>
      <c r="I289" s="1854" t="s">
        <v>1068</v>
      </c>
    </row>
    <row customHeight="1" ht="11.25">
      <c r="A290" s="1854" t="s">
        <v>2542</v>
      </c>
      <c r="B290" s="1854" t="s">
        <v>16</v>
      </c>
      <c r="C290" s="1854" t="s">
        <v>3499</v>
      </c>
      <c r="D290" s="1854" t="s">
        <v>3500</v>
      </c>
      <c r="E290" s="1854" t="s">
        <v>3501</v>
      </c>
      <c r="F290" s="1854" t="s">
        <v>50</v>
      </c>
      <c r="G290" s="1854" t="s">
        <v>22</v>
      </c>
      <c r="H290" s="1854" t="s">
        <v>22</v>
      </c>
      <c r="I290" s="1854" t="s">
        <v>1068</v>
      </c>
    </row>
    <row customHeight="1" ht="11.25">
      <c r="A291" s="1854" t="s">
        <v>2542</v>
      </c>
      <c r="B291" s="1854" t="s">
        <v>16</v>
      </c>
      <c r="C291" s="1854" t="s">
        <v>3502</v>
      </c>
      <c r="D291" s="1854" t="s">
        <v>3503</v>
      </c>
      <c r="E291" s="1854" t="s">
        <v>3504</v>
      </c>
      <c r="F291" s="1854" t="s">
        <v>3102</v>
      </c>
      <c r="G291" s="1854" t="s">
        <v>3505</v>
      </c>
      <c r="H291" s="1854" t="s">
        <v>22</v>
      </c>
      <c r="I291" s="1854" t="s">
        <v>1068</v>
      </c>
    </row>
    <row customHeight="1" ht="11.25">
      <c r="A292" s="1854" t="s">
        <v>2542</v>
      </c>
      <c r="B292" s="1854" t="s">
        <v>16</v>
      </c>
      <c r="C292" s="1854" t="s">
        <v>3506</v>
      </c>
      <c r="D292" s="1854" t="s">
        <v>3507</v>
      </c>
      <c r="E292" s="1854" t="s">
        <v>3508</v>
      </c>
      <c r="F292" s="1854" t="s">
        <v>2844</v>
      </c>
      <c r="G292" s="1854" t="s">
        <v>3509</v>
      </c>
      <c r="H292" s="1854" t="s">
        <v>22</v>
      </c>
      <c r="I292" s="1854" t="s">
        <v>1068</v>
      </c>
    </row>
    <row customHeight="1" ht="11.25">
      <c r="A293" s="1854" t="s">
        <v>2542</v>
      </c>
      <c r="B293" s="1854" t="s">
        <v>16</v>
      </c>
      <c r="C293" s="1854" t="s">
        <v>3510</v>
      </c>
      <c r="D293" s="1854" t="s">
        <v>3511</v>
      </c>
      <c r="E293" s="1854" t="s">
        <v>3512</v>
      </c>
      <c r="F293" s="1854" t="s">
        <v>2679</v>
      </c>
      <c r="G293" s="1854" t="s">
        <v>3513</v>
      </c>
      <c r="H293" s="1854" t="s">
        <v>22</v>
      </c>
      <c r="I293" s="1854" t="s">
        <v>1068</v>
      </c>
    </row>
    <row customHeight="1" ht="11.25">
      <c r="A294" s="1854" t="s">
        <v>2542</v>
      </c>
      <c r="B294" s="1854" t="s">
        <v>16</v>
      </c>
      <c r="C294" s="1854" t="s">
        <v>3514</v>
      </c>
      <c r="D294" s="1854" t="s">
        <v>3515</v>
      </c>
      <c r="E294" s="1854" t="s">
        <v>3516</v>
      </c>
      <c r="F294" s="1854" t="s">
        <v>2550</v>
      </c>
      <c r="G294" s="1854" t="s">
        <v>22</v>
      </c>
      <c r="H294" s="1854" t="s">
        <v>22</v>
      </c>
      <c r="I294" s="1854" t="s">
        <v>1068</v>
      </c>
    </row>
    <row customHeight="1" ht="11.25">
      <c r="A295" s="1854" t="s">
        <v>2542</v>
      </c>
      <c r="B295" s="1854" t="s">
        <v>16</v>
      </c>
      <c r="C295" s="1854" t="s">
        <v>3517</v>
      </c>
      <c r="D295" s="1854" t="s">
        <v>3518</v>
      </c>
      <c r="E295" s="1854" t="s">
        <v>3519</v>
      </c>
      <c r="F295" s="1854" t="s">
        <v>2844</v>
      </c>
      <c r="G295" s="1854" t="s">
        <v>3520</v>
      </c>
      <c r="H295" s="1854" t="s">
        <v>22</v>
      </c>
      <c r="I295" s="1854" t="s">
        <v>1068</v>
      </c>
    </row>
    <row customHeight="1" ht="11.25">
      <c r="A296" s="1854" t="s">
        <v>2542</v>
      </c>
      <c r="B296" s="1854" t="s">
        <v>16</v>
      </c>
      <c r="C296" s="1854" t="s">
        <v>3521</v>
      </c>
      <c r="D296" s="1854" t="s">
        <v>3522</v>
      </c>
      <c r="E296" s="1854" t="s">
        <v>3523</v>
      </c>
      <c r="F296" s="1854" t="s">
        <v>2669</v>
      </c>
      <c r="G296" s="1854" t="s">
        <v>3524</v>
      </c>
      <c r="H296" s="1854" t="s">
        <v>22</v>
      </c>
      <c r="I296" s="1854" t="s">
        <v>1068</v>
      </c>
    </row>
    <row customHeight="1" ht="11.25">
      <c r="A297" s="1854" t="s">
        <v>2542</v>
      </c>
      <c r="B297" s="1854" t="s">
        <v>16</v>
      </c>
      <c r="C297" s="1854" t="s">
        <v>3525</v>
      </c>
      <c r="D297" s="1854" t="s">
        <v>3526</v>
      </c>
      <c r="E297" s="1854" t="s">
        <v>3527</v>
      </c>
      <c r="F297" s="1854" t="s">
        <v>50</v>
      </c>
      <c r="G297" s="1854" t="s">
        <v>22</v>
      </c>
      <c r="H297" s="1854" t="s">
        <v>22</v>
      </c>
      <c r="I297" s="1854" t="s">
        <v>1068</v>
      </c>
    </row>
    <row customHeight="1" ht="11.25">
      <c r="A298" s="1854" t="s">
        <v>2542</v>
      </c>
      <c r="B298" s="1854" t="s">
        <v>16</v>
      </c>
      <c r="C298" s="1854" t="s">
        <v>3528</v>
      </c>
      <c r="D298" s="1854" t="s">
        <v>3529</v>
      </c>
      <c r="E298" s="1854" t="s">
        <v>3530</v>
      </c>
      <c r="F298" s="1854" t="s">
        <v>2844</v>
      </c>
      <c r="G298" s="1854" t="s">
        <v>22</v>
      </c>
      <c r="H298" s="1854" t="s">
        <v>22</v>
      </c>
      <c r="I298" s="1854" t="s">
        <v>1068</v>
      </c>
    </row>
    <row customHeight="1" ht="11.25">
      <c r="A299" s="1854" t="s">
        <v>2542</v>
      </c>
      <c r="B299" s="1854" t="s">
        <v>16</v>
      </c>
      <c r="C299" s="1854" t="s">
        <v>3531</v>
      </c>
      <c r="D299" s="1854" t="s">
        <v>3532</v>
      </c>
      <c r="E299" s="1854" t="s">
        <v>3533</v>
      </c>
      <c r="F299" s="1854" t="s">
        <v>2550</v>
      </c>
      <c r="G299" s="1854" t="s">
        <v>22</v>
      </c>
      <c r="H299" s="1854" t="s">
        <v>22</v>
      </c>
      <c r="I299" s="1854" t="s">
        <v>1068</v>
      </c>
    </row>
    <row customHeight="1" ht="11.25">
      <c r="A300" s="1854" t="s">
        <v>2542</v>
      </c>
      <c r="B300" s="1854" t="s">
        <v>16</v>
      </c>
      <c r="C300" s="1854" t="s">
        <v>3534</v>
      </c>
      <c r="D300" s="1854" t="s">
        <v>3535</v>
      </c>
      <c r="E300" s="1854" t="s">
        <v>3536</v>
      </c>
      <c r="F300" s="1854" t="s">
        <v>2743</v>
      </c>
      <c r="G300" s="1854" t="s">
        <v>22</v>
      </c>
      <c r="H300" s="1854" t="s">
        <v>22</v>
      </c>
      <c r="I300" s="1854" t="s">
        <v>1068</v>
      </c>
    </row>
    <row customHeight="1" ht="11.25">
      <c r="A301" s="1854" t="s">
        <v>2542</v>
      </c>
      <c r="B301" s="1854" t="s">
        <v>16</v>
      </c>
      <c r="C301" s="1854" t="s">
        <v>3537</v>
      </c>
      <c r="D301" s="1854" t="s">
        <v>3538</v>
      </c>
      <c r="E301" s="1854" t="s">
        <v>3539</v>
      </c>
      <c r="F301" s="1854" t="s">
        <v>50</v>
      </c>
      <c r="G301" s="1854" t="s">
        <v>3540</v>
      </c>
      <c r="H301" s="1854" t="s">
        <v>22</v>
      </c>
      <c r="I301" s="1854" t="s">
        <v>1068</v>
      </c>
    </row>
    <row customHeight="1" ht="11.25">
      <c r="A302" s="1854" t="s">
        <v>2542</v>
      </c>
      <c r="B302" s="1854" t="s">
        <v>16</v>
      </c>
      <c r="C302" s="1854" t="s">
        <v>3541</v>
      </c>
      <c r="D302" s="1854" t="s">
        <v>3542</v>
      </c>
      <c r="E302" s="1854" t="s">
        <v>3543</v>
      </c>
      <c r="F302" s="1854" t="s">
        <v>2821</v>
      </c>
      <c r="G302" s="1854" t="s">
        <v>22</v>
      </c>
      <c r="H302" s="1854" t="s">
        <v>22</v>
      </c>
      <c r="I302" s="1854" t="s">
        <v>1068</v>
      </c>
    </row>
    <row customHeight="1" ht="11.25">
      <c r="A303" s="1854" t="s">
        <v>2542</v>
      </c>
      <c r="B303" s="1854" t="s">
        <v>16</v>
      </c>
      <c r="C303" s="1854" t="s">
        <v>3544</v>
      </c>
      <c r="D303" s="1854" t="s">
        <v>3545</v>
      </c>
      <c r="E303" s="1854" t="s">
        <v>3546</v>
      </c>
      <c r="F303" s="1854" t="s">
        <v>2665</v>
      </c>
      <c r="G303" s="1854" t="s">
        <v>22</v>
      </c>
      <c r="H303" s="1854" t="s">
        <v>22</v>
      </c>
      <c r="I303" s="1854" t="s">
        <v>1068</v>
      </c>
    </row>
    <row customHeight="1" ht="11.25">
      <c r="A304" s="1854" t="s">
        <v>2542</v>
      </c>
      <c r="B304" s="1854" t="s">
        <v>16</v>
      </c>
      <c r="C304" s="1854" t="s">
        <v>3547</v>
      </c>
      <c r="D304" s="1854" t="s">
        <v>3548</v>
      </c>
      <c r="E304" s="1854" t="s">
        <v>3549</v>
      </c>
      <c r="F304" s="1854" t="s">
        <v>2550</v>
      </c>
      <c r="G304" s="1854" t="s">
        <v>22</v>
      </c>
      <c r="H304" s="1854" t="s">
        <v>22</v>
      </c>
      <c r="I304" s="1854" t="s">
        <v>1068</v>
      </c>
    </row>
    <row customHeight="1" ht="11.25">
      <c r="A305" s="1854" t="s">
        <v>2542</v>
      </c>
      <c r="B305" s="1854" t="s">
        <v>16</v>
      </c>
      <c r="C305" s="1854" t="s">
        <v>3550</v>
      </c>
      <c r="D305" s="1854" t="s">
        <v>3551</v>
      </c>
      <c r="E305" s="1854" t="s">
        <v>3552</v>
      </c>
      <c r="F305" s="1854" t="s">
        <v>3181</v>
      </c>
      <c r="G305" s="1854" t="s">
        <v>22</v>
      </c>
      <c r="H305" s="1854" t="s">
        <v>22</v>
      </c>
      <c r="I305" s="1854" t="s">
        <v>1068</v>
      </c>
    </row>
    <row customHeight="1" ht="11.25">
      <c r="A306" s="1854" t="s">
        <v>2542</v>
      </c>
      <c r="B306" s="1854" t="s">
        <v>16</v>
      </c>
      <c r="C306" s="1854" t="s">
        <v>3553</v>
      </c>
      <c r="D306" s="1854" t="s">
        <v>3554</v>
      </c>
      <c r="E306" s="1854" t="s">
        <v>3555</v>
      </c>
      <c r="F306" s="1854" t="s">
        <v>2599</v>
      </c>
      <c r="G306" s="1854" t="s">
        <v>22</v>
      </c>
      <c r="H306" s="1854" t="s">
        <v>22</v>
      </c>
      <c r="I306" s="1854" t="s">
        <v>1068</v>
      </c>
    </row>
    <row customHeight="1" ht="11.25">
      <c r="A307" s="1854" t="s">
        <v>2542</v>
      </c>
      <c r="B307" s="1854" t="s">
        <v>16</v>
      </c>
      <c r="C307" s="1854" t="s">
        <v>3556</v>
      </c>
      <c r="D307" s="1854" t="s">
        <v>3557</v>
      </c>
      <c r="E307" s="1854" t="s">
        <v>3558</v>
      </c>
      <c r="F307" s="1854" t="s">
        <v>3181</v>
      </c>
      <c r="G307" s="1854" t="s">
        <v>3559</v>
      </c>
      <c r="H307" s="1854" t="s">
        <v>22</v>
      </c>
      <c r="I307" s="1854" t="s">
        <v>1068</v>
      </c>
    </row>
    <row customHeight="1" ht="11.25">
      <c r="A308" s="1854" t="s">
        <v>2542</v>
      </c>
      <c r="B308" s="1854" t="s">
        <v>16</v>
      </c>
      <c r="C308" s="1854" t="s">
        <v>3560</v>
      </c>
      <c r="D308" s="1854" t="s">
        <v>3561</v>
      </c>
      <c r="E308" s="1854" t="s">
        <v>3562</v>
      </c>
      <c r="F308" s="1854" t="s">
        <v>2563</v>
      </c>
      <c r="G308" s="1854" t="s">
        <v>22</v>
      </c>
      <c r="H308" s="1854" t="s">
        <v>22</v>
      </c>
      <c r="I308" s="1854" t="s">
        <v>1068</v>
      </c>
    </row>
    <row customHeight="1" ht="11.25">
      <c r="A309" s="1854" t="s">
        <v>2542</v>
      </c>
      <c r="B309" s="1854" t="s">
        <v>16</v>
      </c>
      <c r="C309" s="1854" t="s">
        <v>3563</v>
      </c>
      <c r="D309" s="1854" t="s">
        <v>3564</v>
      </c>
      <c r="E309" s="1854" t="s">
        <v>3565</v>
      </c>
      <c r="F309" s="1854" t="s">
        <v>2620</v>
      </c>
      <c r="G309" s="1854" t="s">
        <v>22</v>
      </c>
      <c r="H309" s="1854" t="s">
        <v>22</v>
      </c>
      <c r="I309" s="1854" t="s">
        <v>1068</v>
      </c>
    </row>
    <row customHeight="1" ht="11.25">
      <c r="A310" s="1854" t="s">
        <v>2542</v>
      </c>
      <c r="B310" s="1854" t="s">
        <v>16</v>
      </c>
      <c r="C310" s="1854" t="s">
        <v>3566</v>
      </c>
      <c r="D310" s="1854" t="s">
        <v>3567</v>
      </c>
      <c r="E310" s="1854" t="s">
        <v>3568</v>
      </c>
      <c r="F310" s="1854" t="s">
        <v>2591</v>
      </c>
      <c r="G310" s="1854" t="s">
        <v>22</v>
      </c>
      <c r="H310" s="1854" t="s">
        <v>22</v>
      </c>
      <c r="I310" s="1854" t="s">
        <v>1068</v>
      </c>
    </row>
    <row customHeight="1" ht="11.25">
      <c r="A311" s="1854" t="s">
        <v>2542</v>
      </c>
      <c r="B311" s="1854" t="s">
        <v>16</v>
      </c>
      <c r="C311" s="1854" t="s">
        <v>3569</v>
      </c>
      <c r="D311" s="1854" t="s">
        <v>3570</v>
      </c>
      <c r="E311" s="1854" t="s">
        <v>3571</v>
      </c>
      <c r="F311" s="1854" t="s">
        <v>2679</v>
      </c>
      <c r="G311" s="1854" t="s">
        <v>22</v>
      </c>
      <c r="H311" s="1854" t="s">
        <v>22</v>
      </c>
      <c r="I311" s="1854" t="s">
        <v>1068</v>
      </c>
    </row>
    <row customHeight="1" ht="11.25">
      <c r="A312" s="1854" t="s">
        <v>2542</v>
      </c>
      <c r="B312" s="1854" t="s">
        <v>16</v>
      </c>
      <c r="C312" s="1854" t="s">
        <v>3572</v>
      </c>
      <c r="D312" s="1854" t="s">
        <v>3573</v>
      </c>
      <c r="E312" s="1854" t="s">
        <v>3574</v>
      </c>
      <c r="F312" s="1854" t="s">
        <v>2573</v>
      </c>
      <c r="G312" s="1854" t="s">
        <v>22</v>
      </c>
      <c r="H312" s="1854" t="s">
        <v>3575</v>
      </c>
      <c r="I312" s="1854" t="s">
        <v>1068</v>
      </c>
    </row>
    <row customHeight="1" ht="11.25">
      <c r="A313" s="1854" t="s">
        <v>2542</v>
      </c>
      <c r="B313" s="1854" t="s">
        <v>16</v>
      </c>
      <c r="C313" s="1854" t="s">
        <v>3576</v>
      </c>
      <c r="D313" s="1854" t="s">
        <v>3577</v>
      </c>
      <c r="E313" s="1854" t="s">
        <v>3578</v>
      </c>
      <c r="F313" s="1854" t="s">
        <v>2921</v>
      </c>
      <c r="G313" s="1854" t="s">
        <v>22</v>
      </c>
      <c r="H313" s="1854" t="s">
        <v>22</v>
      </c>
      <c r="I313" s="1854" t="s">
        <v>1068</v>
      </c>
    </row>
    <row customHeight="1" ht="11.25">
      <c r="A314" s="1854" t="s">
        <v>2542</v>
      </c>
      <c r="B314" s="1854" t="s">
        <v>16</v>
      </c>
      <c r="C314" s="1854" t="s">
        <v>3579</v>
      </c>
      <c r="D314" s="1854" t="s">
        <v>3580</v>
      </c>
      <c r="E314" s="1854" t="s">
        <v>3581</v>
      </c>
      <c r="F314" s="1854" t="s">
        <v>2984</v>
      </c>
      <c r="G314" s="1854" t="s">
        <v>22</v>
      </c>
      <c r="H314" s="1854" t="s">
        <v>3582</v>
      </c>
      <c r="I314" s="1854" t="s">
        <v>1068</v>
      </c>
    </row>
    <row customHeight="1" ht="11.25">
      <c r="A315" s="1854" t="s">
        <v>2542</v>
      </c>
      <c r="B315" s="1854" t="s">
        <v>16</v>
      </c>
      <c r="C315" s="1854" t="s">
        <v>3583</v>
      </c>
      <c r="D315" s="1854" t="s">
        <v>3584</v>
      </c>
      <c r="E315" s="1854" t="s">
        <v>3585</v>
      </c>
      <c r="F315" s="1854" t="s">
        <v>2665</v>
      </c>
      <c r="G315" s="1854" t="s">
        <v>22</v>
      </c>
      <c r="H315" s="1854" t="s">
        <v>22</v>
      </c>
      <c r="I315" s="1854" t="s">
        <v>1068</v>
      </c>
    </row>
    <row customHeight="1" ht="11.25">
      <c r="A316" s="1854" t="s">
        <v>2542</v>
      </c>
      <c r="B316" s="1854" t="s">
        <v>16</v>
      </c>
      <c r="C316" s="1854" t="s">
        <v>3586</v>
      </c>
      <c r="D316" s="1854" t="s">
        <v>3587</v>
      </c>
      <c r="E316" s="1854" t="s">
        <v>3588</v>
      </c>
      <c r="F316" s="1854" t="s">
        <v>2917</v>
      </c>
      <c r="G316" s="1854" t="s">
        <v>22</v>
      </c>
      <c r="H316" s="1854" t="s">
        <v>22</v>
      </c>
      <c r="I316" s="1854" t="s">
        <v>1068</v>
      </c>
    </row>
    <row customHeight="1" ht="11.25">
      <c r="A317" s="1854" t="s">
        <v>2542</v>
      </c>
      <c r="B317" s="1854" t="s">
        <v>16</v>
      </c>
      <c r="C317" s="1854" t="s">
        <v>3589</v>
      </c>
      <c r="D317" s="1854" t="s">
        <v>3590</v>
      </c>
      <c r="E317" s="1854" t="s">
        <v>3591</v>
      </c>
      <c r="F317" s="1854" t="s">
        <v>3592</v>
      </c>
      <c r="G317" s="1854" t="s">
        <v>22</v>
      </c>
      <c r="H317" s="1854" t="s">
        <v>22</v>
      </c>
      <c r="I317" s="1854" t="s">
        <v>1068</v>
      </c>
    </row>
    <row customHeight="1" ht="11.25">
      <c r="A318" s="1854" t="s">
        <v>2542</v>
      </c>
      <c r="B318" s="1854" t="s">
        <v>16</v>
      </c>
      <c r="C318" s="1854" t="s">
        <v>3593</v>
      </c>
      <c r="D318" s="1854" t="s">
        <v>3594</v>
      </c>
      <c r="E318" s="1854" t="s">
        <v>3595</v>
      </c>
      <c r="F318" s="1854" t="s">
        <v>3596</v>
      </c>
      <c r="G318" s="1854" t="s">
        <v>22</v>
      </c>
      <c r="H318" s="1854" t="s">
        <v>22</v>
      </c>
      <c r="I318" s="1854" t="s">
        <v>1068</v>
      </c>
    </row>
    <row customHeight="1" ht="11.25">
      <c r="A319" s="1854" t="s">
        <v>2542</v>
      </c>
      <c r="B319" s="1854" t="s">
        <v>16</v>
      </c>
      <c r="C319" s="1854" t="s">
        <v>3597</v>
      </c>
      <c r="D319" s="1854" t="s">
        <v>3598</v>
      </c>
      <c r="E319" s="1854" t="s">
        <v>3599</v>
      </c>
      <c r="F319" s="1854" t="s">
        <v>3600</v>
      </c>
      <c r="G319" s="1854" t="s">
        <v>22</v>
      </c>
      <c r="H319" s="1854" t="s">
        <v>22</v>
      </c>
      <c r="I319" s="1854" t="s">
        <v>1068</v>
      </c>
    </row>
    <row customHeight="1" ht="11.25">
      <c r="A320" s="1854" t="s">
        <v>2542</v>
      </c>
      <c r="B320" s="1854" t="s">
        <v>16</v>
      </c>
      <c r="C320" s="1854" t="s">
        <v>3601</v>
      </c>
      <c r="D320" s="1854" t="s">
        <v>3602</v>
      </c>
      <c r="E320" s="1854" t="s">
        <v>3603</v>
      </c>
      <c r="F320" s="1854" t="s">
        <v>50</v>
      </c>
      <c r="G320" s="1854" t="s">
        <v>22</v>
      </c>
      <c r="H320" s="1854" t="s">
        <v>22</v>
      </c>
      <c r="I320" s="1854" t="s">
        <v>1068</v>
      </c>
    </row>
    <row customHeight="1" ht="11.25">
      <c r="A321" s="1854" t="s">
        <v>2542</v>
      </c>
      <c r="B321" s="1854" t="s">
        <v>16</v>
      </c>
      <c r="C321" s="1854" t="s">
        <v>3604</v>
      </c>
      <c r="D321" s="1854" t="s">
        <v>3605</v>
      </c>
      <c r="E321" s="1854" t="s">
        <v>3606</v>
      </c>
      <c r="F321" s="1854" t="s">
        <v>2641</v>
      </c>
      <c r="G321" s="1854" t="s">
        <v>22</v>
      </c>
      <c r="H321" s="1854" t="s">
        <v>22</v>
      </c>
      <c r="I321" s="1854" t="s">
        <v>1068</v>
      </c>
    </row>
    <row customHeight="1" ht="11.25">
      <c r="A322" s="1854" t="s">
        <v>2542</v>
      </c>
      <c r="B322" s="1854" t="s">
        <v>16</v>
      </c>
      <c r="C322" s="1854" t="s">
        <v>3607</v>
      </c>
      <c r="D322" s="1854" t="s">
        <v>3608</v>
      </c>
      <c r="E322" s="1854" t="s">
        <v>3609</v>
      </c>
      <c r="F322" s="1854" t="s">
        <v>3610</v>
      </c>
      <c r="G322" s="1854" t="s">
        <v>22</v>
      </c>
      <c r="H322" s="1854" t="s">
        <v>22</v>
      </c>
      <c r="I322" s="1854" t="s">
        <v>1068</v>
      </c>
    </row>
    <row customHeight="1" ht="11.25">
      <c r="A323" s="1854" t="s">
        <v>2542</v>
      </c>
      <c r="B323" s="1854" t="s">
        <v>16</v>
      </c>
      <c r="C323" s="1854" t="s">
        <v>3611</v>
      </c>
      <c r="D323" s="1854" t="s">
        <v>3612</v>
      </c>
      <c r="E323" s="1854" t="s">
        <v>3613</v>
      </c>
      <c r="F323" s="1854" t="s">
        <v>2620</v>
      </c>
      <c r="G323" s="1854" t="s">
        <v>22</v>
      </c>
      <c r="H323" s="1854" t="s">
        <v>22</v>
      </c>
      <c r="I323" s="1854" t="s">
        <v>1068</v>
      </c>
    </row>
    <row customHeight="1" ht="11.25">
      <c r="A324" s="1854" t="s">
        <v>2542</v>
      </c>
      <c r="B324" s="1854" t="s">
        <v>16</v>
      </c>
      <c r="C324" s="1854" t="s">
        <v>3614</v>
      </c>
      <c r="D324" s="1854" t="s">
        <v>3615</v>
      </c>
      <c r="E324" s="1854" t="s">
        <v>3616</v>
      </c>
      <c r="F324" s="1854" t="s">
        <v>2550</v>
      </c>
      <c r="G324" s="1854" t="s">
        <v>3617</v>
      </c>
      <c r="H324" s="1854" t="s">
        <v>22</v>
      </c>
      <c r="I324" s="1854" t="s">
        <v>1068</v>
      </c>
    </row>
    <row customHeight="1" ht="11.25">
      <c r="A325" s="1854" t="s">
        <v>2542</v>
      </c>
      <c r="B325" s="1854" t="s">
        <v>16</v>
      </c>
      <c r="C325" s="1854" t="s">
        <v>3618</v>
      </c>
      <c r="D325" s="1854" t="s">
        <v>3619</v>
      </c>
      <c r="E325" s="1854" t="s">
        <v>3620</v>
      </c>
      <c r="F325" s="1854" t="s">
        <v>2599</v>
      </c>
      <c r="G325" s="1854" t="s">
        <v>22</v>
      </c>
      <c r="H325" s="1854" t="s">
        <v>22</v>
      </c>
      <c r="I325" s="1854" t="s">
        <v>1068</v>
      </c>
    </row>
    <row customHeight="1" ht="11.25">
      <c r="A326" s="1854" t="s">
        <v>2542</v>
      </c>
      <c r="B326" s="1854" t="s">
        <v>16</v>
      </c>
      <c r="C326" s="1854" t="s">
        <v>3621</v>
      </c>
      <c r="D326" s="1854" t="s">
        <v>3622</v>
      </c>
      <c r="E326" s="1854" t="s">
        <v>3623</v>
      </c>
      <c r="F326" s="1854" t="s">
        <v>2794</v>
      </c>
      <c r="G326" s="1854" t="s">
        <v>22</v>
      </c>
      <c r="H326" s="1854" t="s">
        <v>22</v>
      </c>
      <c r="I326" s="1854" t="s">
        <v>1068</v>
      </c>
    </row>
    <row customHeight="1" ht="11.25">
      <c r="A327" s="1854" t="s">
        <v>2542</v>
      </c>
      <c r="B327" s="1854" t="s">
        <v>16</v>
      </c>
      <c r="C327" s="1854" t="s">
        <v>3624</v>
      </c>
      <c r="D327" s="1854" t="s">
        <v>3625</v>
      </c>
      <c r="E327" s="1854" t="s">
        <v>3626</v>
      </c>
      <c r="F327" s="1854" t="s">
        <v>2828</v>
      </c>
      <c r="G327" s="1854" t="s">
        <v>22</v>
      </c>
      <c r="H327" s="1854" t="s">
        <v>22</v>
      </c>
      <c r="I327" s="1854" t="s">
        <v>1068</v>
      </c>
    </row>
    <row customHeight="1" ht="11.25">
      <c r="A328" s="1854" t="s">
        <v>2542</v>
      </c>
      <c r="B328" s="1854" t="s">
        <v>16</v>
      </c>
      <c r="C328" s="1854" t="s">
        <v>3627</v>
      </c>
      <c r="D328" s="1854" t="s">
        <v>3628</v>
      </c>
      <c r="E328" s="1854" t="s">
        <v>3629</v>
      </c>
      <c r="F328" s="1854" t="s">
        <v>2953</v>
      </c>
      <c r="G328" s="1854" t="s">
        <v>22</v>
      </c>
      <c r="H328" s="1854" t="s">
        <v>22</v>
      </c>
      <c r="I328" s="1854" t="s">
        <v>1068</v>
      </c>
    </row>
    <row customHeight="1" ht="11.25">
      <c r="A329" s="1854" t="s">
        <v>2542</v>
      </c>
      <c r="B329" s="1854" t="s">
        <v>16</v>
      </c>
      <c r="C329" s="1854" t="s">
        <v>3630</v>
      </c>
      <c r="D329" s="1854" t="s">
        <v>3631</v>
      </c>
      <c r="E329" s="1854" t="s">
        <v>3632</v>
      </c>
      <c r="F329" s="1854" t="s">
        <v>50</v>
      </c>
      <c r="G329" s="1854" t="s">
        <v>22</v>
      </c>
      <c r="H329" s="1854" t="s">
        <v>22</v>
      </c>
      <c r="I329" s="1854" t="s">
        <v>1068</v>
      </c>
    </row>
    <row customHeight="1" ht="11.25">
      <c r="A330" s="1854" t="s">
        <v>2542</v>
      </c>
      <c r="B330" s="1854" t="s">
        <v>16</v>
      </c>
      <c r="C330" s="1854" t="s">
        <v>3633</v>
      </c>
      <c r="D330" s="1854" t="s">
        <v>3634</v>
      </c>
      <c r="E330" s="1854" t="s">
        <v>3635</v>
      </c>
      <c r="F330" s="1854" t="s">
        <v>2708</v>
      </c>
      <c r="G330" s="1854" t="s">
        <v>22</v>
      </c>
      <c r="H330" s="1854" t="s">
        <v>22</v>
      </c>
      <c r="I330" s="1854" t="s">
        <v>1068</v>
      </c>
    </row>
    <row customHeight="1" ht="11.25">
      <c r="A331" s="1854" t="s">
        <v>2542</v>
      </c>
      <c r="B331" s="1854" t="s">
        <v>16</v>
      </c>
      <c r="C331" s="1854" t="s">
        <v>3636</v>
      </c>
      <c r="D331" s="1854" t="s">
        <v>3637</v>
      </c>
      <c r="E331" s="1854" t="s">
        <v>3638</v>
      </c>
      <c r="F331" s="1854" t="s">
        <v>2550</v>
      </c>
      <c r="G331" s="1854" t="s">
        <v>22</v>
      </c>
      <c r="H331" s="1854" t="s">
        <v>22</v>
      </c>
      <c r="I331" s="1854" t="s">
        <v>1068</v>
      </c>
    </row>
    <row customHeight="1" ht="11.25">
      <c r="A332" s="1854" t="s">
        <v>2542</v>
      </c>
      <c r="B332" s="1854" t="s">
        <v>16</v>
      </c>
      <c r="C332" s="1854" t="s">
        <v>3639</v>
      </c>
      <c r="D332" s="1854" t="s">
        <v>3640</v>
      </c>
      <c r="E332" s="1854" t="s">
        <v>3641</v>
      </c>
      <c r="F332" s="1854" t="s">
        <v>3642</v>
      </c>
      <c r="G332" s="1854" t="s">
        <v>3643</v>
      </c>
      <c r="H332" s="1854" t="s">
        <v>22</v>
      </c>
      <c r="I332" s="1854" t="s">
        <v>1068</v>
      </c>
    </row>
    <row customHeight="1" ht="11.25">
      <c r="A333" s="1854" t="s">
        <v>2542</v>
      </c>
      <c r="B333" s="1854" t="s">
        <v>16</v>
      </c>
      <c r="C333" s="1854" t="s">
        <v>3644</v>
      </c>
      <c r="D333" s="1854" t="s">
        <v>3645</v>
      </c>
      <c r="E333" s="1854" t="s">
        <v>3646</v>
      </c>
      <c r="F333" s="1854" t="s">
        <v>2973</v>
      </c>
      <c r="G333" s="1854" t="s">
        <v>3647</v>
      </c>
      <c r="H333" s="1854" t="s">
        <v>22</v>
      </c>
      <c r="I333" s="1854" t="s">
        <v>1068</v>
      </c>
    </row>
    <row customHeight="1" ht="11.25">
      <c r="A334" s="1854" t="s">
        <v>2542</v>
      </c>
      <c r="B334" s="1854" t="s">
        <v>16</v>
      </c>
      <c r="C334" s="1854" t="s">
        <v>3648</v>
      </c>
      <c r="D334" s="1854" t="s">
        <v>3649</v>
      </c>
      <c r="E334" s="1854" t="s">
        <v>3650</v>
      </c>
      <c r="F334" s="1854" t="s">
        <v>2550</v>
      </c>
      <c r="G334" s="1854" t="s">
        <v>22</v>
      </c>
      <c r="H334" s="1854" t="s">
        <v>22</v>
      </c>
      <c r="I334" s="1854" t="s">
        <v>1068</v>
      </c>
    </row>
    <row customHeight="1" ht="11.25">
      <c r="A335" s="1854" t="s">
        <v>2542</v>
      </c>
      <c r="B335" s="1854" t="s">
        <v>16</v>
      </c>
      <c r="C335" s="1854" t="s">
        <v>3651</v>
      </c>
      <c r="D335" s="1854" t="s">
        <v>3652</v>
      </c>
      <c r="E335" s="1854" t="s">
        <v>3653</v>
      </c>
      <c r="F335" s="1854" t="s">
        <v>2550</v>
      </c>
      <c r="G335" s="1854" t="s">
        <v>22</v>
      </c>
      <c r="H335" s="1854" t="s">
        <v>22</v>
      </c>
      <c r="I335" s="1854" t="s">
        <v>1068</v>
      </c>
    </row>
    <row customHeight="1" ht="11.25">
      <c r="A336" s="1854" t="s">
        <v>2542</v>
      </c>
      <c r="B336" s="1854" t="s">
        <v>16</v>
      </c>
      <c r="C336" s="1854" t="s">
        <v>3654</v>
      </c>
      <c r="D336" s="1854" t="s">
        <v>3655</v>
      </c>
      <c r="E336" s="1854" t="s">
        <v>3656</v>
      </c>
      <c r="F336" s="1854" t="s">
        <v>2821</v>
      </c>
      <c r="G336" s="1854" t="s">
        <v>22</v>
      </c>
      <c r="H336" s="1854" t="s">
        <v>22</v>
      </c>
      <c r="I336" s="1854" t="s">
        <v>1068</v>
      </c>
    </row>
    <row customHeight="1" ht="11.25">
      <c r="A337" s="1854" t="s">
        <v>2542</v>
      </c>
      <c r="B337" s="1854" t="s">
        <v>16</v>
      </c>
      <c r="C337" s="1854" t="s">
        <v>3657</v>
      </c>
      <c r="D337" s="1854" t="s">
        <v>3658</v>
      </c>
      <c r="E337" s="1854" t="s">
        <v>3659</v>
      </c>
      <c r="F337" s="1854" t="s">
        <v>2844</v>
      </c>
      <c r="G337" s="1854" t="s">
        <v>22</v>
      </c>
      <c r="H337" s="1854" t="s">
        <v>22</v>
      </c>
      <c r="I337" s="1854" t="s">
        <v>1068</v>
      </c>
    </row>
    <row customHeight="1" ht="11.25">
      <c r="A338" s="1854" t="s">
        <v>2542</v>
      </c>
      <c r="B338" s="1854" t="s">
        <v>16</v>
      </c>
      <c r="C338" s="1854" t="s">
        <v>3660</v>
      </c>
      <c r="D338" s="1854" t="s">
        <v>3661</v>
      </c>
      <c r="E338" s="1854" t="s">
        <v>3662</v>
      </c>
      <c r="F338" s="1854" t="s">
        <v>2743</v>
      </c>
      <c r="G338" s="1854" t="s">
        <v>22</v>
      </c>
      <c r="H338" s="1854" t="s">
        <v>22</v>
      </c>
      <c r="I338" s="1854" t="s">
        <v>1068</v>
      </c>
    </row>
    <row customHeight="1" ht="11.25">
      <c r="A339" s="1854" t="s">
        <v>2542</v>
      </c>
      <c r="B339" s="1854" t="s">
        <v>16</v>
      </c>
      <c r="C339" s="1854" t="s">
        <v>3663</v>
      </c>
      <c r="D339" s="1854" t="s">
        <v>3664</v>
      </c>
      <c r="E339" s="1854" t="s">
        <v>3665</v>
      </c>
      <c r="F339" s="1854" t="s">
        <v>2610</v>
      </c>
      <c r="G339" s="1854" t="s">
        <v>22</v>
      </c>
      <c r="H339" s="1854" t="s">
        <v>22</v>
      </c>
      <c r="I339" s="1854" t="s">
        <v>1068</v>
      </c>
    </row>
    <row customHeight="1" ht="11.25">
      <c r="A340" s="1854" t="s">
        <v>2542</v>
      </c>
      <c r="B340" s="1854" t="s">
        <v>16</v>
      </c>
      <c r="C340" s="1854" t="s">
        <v>3666</v>
      </c>
      <c r="D340" s="1854" t="s">
        <v>3667</v>
      </c>
      <c r="E340" s="1854" t="s">
        <v>3668</v>
      </c>
      <c r="F340" s="1854" t="s">
        <v>2844</v>
      </c>
      <c r="G340" s="1854" t="s">
        <v>22</v>
      </c>
      <c r="H340" s="1854" t="s">
        <v>22</v>
      </c>
      <c r="I340" s="1854" t="s">
        <v>1068</v>
      </c>
    </row>
    <row customHeight="1" ht="11.25">
      <c r="A341" s="1854" t="s">
        <v>2542</v>
      </c>
      <c r="B341" s="1854" t="s">
        <v>16</v>
      </c>
      <c r="C341" s="1854" t="s">
        <v>3669</v>
      </c>
      <c r="D341" s="1854" t="s">
        <v>3670</v>
      </c>
      <c r="E341" s="1854" t="s">
        <v>3671</v>
      </c>
      <c r="F341" s="1854" t="s">
        <v>2679</v>
      </c>
      <c r="G341" s="1854" t="s">
        <v>22</v>
      </c>
      <c r="H341" s="1854" t="s">
        <v>22</v>
      </c>
      <c r="I341" s="1854" t="s">
        <v>1068</v>
      </c>
    </row>
    <row customHeight="1" ht="11.25">
      <c r="A342" s="1854" t="s">
        <v>2542</v>
      </c>
      <c r="B342" s="1854" t="s">
        <v>16</v>
      </c>
      <c r="C342" s="1854" t="s">
        <v>3672</v>
      </c>
      <c r="D342" s="1854" t="s">
        <v>3673</v>
      </c>
      <c r="E342" s="1854" t="s">
        <v>3674</v>
      </c>
      <c r="F342" s="1854" t="s">
        <v>2767</v>
      </c>
      <c r="G342" s="1854" t="s">
        <v>22</v>
      </c>
      <c r="H342" s="1854" t="s">
        <v>22</v>
      </c>
      <c r="I342" s="1854" t="s">
        <v>1068</v>
      </c>
    </row>
    <row customHeight="1" ht="11.25">
      <c r="A343" s="1854" t="s">
        <v>2542</v>
      </c>
      <c r="B343" s="1854" t="s">
        <v>16</v>
      </c>
      <c r="C343" s="1854" t="s">
        <v>3675</v>
      </c>
      <c r="D343" s="1854" t="s">
        <v>3676</v>
      </c>
      <c r="E343" s="1854" t="s">
        <v>3677</v>
      </c>
      <c r="F343" s="1854" t="s">
        <v>2550</v>
      </c>
      <c r="G343" s="1854" t="s">
        <v>22</v>
      </c>
      <c r="H343" s="1854" t="s">
        <v>22</v>
      </c>
      <c r="I343" s="1854" t="s">
        <v>1068</v>
      </c>
    </row>
    <row customHeight="1" ht="11.25">
      <c r="A344" s="1854" t="s">
        <v>2542</v>
      </c>
      <c r="B344" s="1854" t="s">
        <v>16</v>
      </c>
      <c r="C344" s="1854" t="s">
        <v>3678</v>
      </c>
      <c r="D344" s="1854" t="s">
        <v>3679</v>
      </c>
      <c r="E344" s="1854" t="s">
        <v>3680</v>
      </c>
      <c r="F344" s="1854" t="s">
        <v>2606</v>
      </c>
      <c r="G344" s="1854" t="s">
        <v>22</v>
      </c>
      <c r="H344" s="1854" t="s">
        <v>22</v>
      </c>
      <c r="I344" s="1854" t="s">
        <v>1068</v>
      </c>
    </row>
    <row customHeight="1" ht="11.25">
      <c r="A345" s="1854" t="s">
        <v>2542</v>
      </c>
      <c r="B345" s="1854" t="s">
        <v>16</v>
      </c>
      <c r="C345" s="1854" t="s">
        <v>3681</v>
      </c>
      <c r="D345" s="1854" t="s">
        <v>3682</v>
      </c>
      <c r="E345" s="1854" t="s">
        <v>3683</v>
      </c>
      <c r="F345" s="1854" t="s">
        <v>3256</v>
      </c>
      <c r="G345" s="1854" t="s">
        <v>22</v>
      </c>
      <c r="H345" s="1854" t="s">
        <v>22</v>
      </c>
      <c r="I345" s="1854" t="s">
        <v>1068</v>
      </c>
    </row>
    <row customHeight="1" ht="11.25">
      <c r="A346" s="1854" t="s">
        <v>2542</v>
      </c>
      <c r="B346" s="1854" t="s">
        <v>16</v>
      </c>
      <c r="C346" s="1854" t="s">
        <v>3684</v>
      </c>
      <c r="D346" s="1854" t="s">
        <v>3685</v>
      </c>
      <c r="E346" s="1854" t="s">
        <v>3686</v>
      </c>
      <c r="F346" s="1854" t="s">
        <v>2591</v>
      </c>
      <c r="G346" s="1854" t="s">
        <v>22</v>
      </c>
      <c r="H346" s="1854" t="s">
        <v>22</v>
      </c>
      <c r="I346" s="1854" t="s">
        <v>1068</v>
      </c>
    </row>
    <row customHeight="1" ht="11.25">
      <c r="A347" s="1854" t="s">
        <v>2542</v>
      </c>
      <c r="B347" s="1854" t="s">
        <v>16</v>
      </c>
      <c r="C347" s="1854" t="s">
        <v>3687</v>
      </c>
      <c r="D347" s="1854" t="s">
        <v>3688</v>
      </c>
      <c r="E347" s="1854" t="s">
        <v>3689</v>
      </c>
      <c r="F347" s="1854" t="s">
        <v>2599</v>
      </c>
      <c r="G347" s="1854" t="s">
        <v>22</v>
      </c>
      <c r="H347" s="1854" t="s">
        <v>22</v>
      </c>
      <c r="I347" s="1854" t="s">
        <v>1068</v>
      </c>
    </row>
    <row customHeight="1" ht="11.25">
      <c r="A348" s="1854" t="s">
        <v>2542</v>
      </c>
      <c r="B348" s="1854" t="s">
        <v>16</v>
      </c>
      <c r="C348" s="1854" t="s">
        <v>3690</v>
      </c>
      <c r="D348" s="1854" t="s">
        <v>3691</v>
      </c>
      <c r="E348" s="1854" t="s">
        <v>3692</v>
      </c>
      <c r="F348" s="1854" t="s">
        <v>3181</v>
      </c>
      <c r="G348" s="1854" t="s">
        <v>22</v>
      </c>
      <c r="H348" s="1854" t="s">
        <v>22</v>
      </c>
      <c r="I348" s="1854" t="s">
        <v>1068</v>
      </c>
    </row>
    <row customHeight="1" ht="11.25">
      <c r="A349" s="1854" t="s">
        <v>2542</v>
      </c>
      <c r="B349" s="1854" t="s">
        <v>16</v>
      </c>
      <c r="C349" s="1854" t="s">
        <v>3693</v>
      </c>
      <c r="D349" s="1854" t="s">
        <v>3694</v>
      </c>
      <c r="E349" s="1854" t="s">
        <v>3695</v>
      </c>
      <c r="F349" s="1854" t="s">
        <v>2844</v>
      </c>
      <c r="G349" s="1854" t="s">
        <v>22</v>
      </c>
      <c r="H349" s="1854" t="s">
        <v>22</v>
      </c>
      <c r="I349" s="1854" t="s">
        <v>1068</v>
      </c>
    </row>
    <row customHeight="1" ht="11.25">
      <c r="A350" s="1854" t="s">
        <v>2542</v>
      </c>
      <c r="B350" s="1854" t="s">
        <v>16</v>
      </c>
      <c r="C350" s="1854" t="s">
        <v>3696</v>
      </c>
      <c r="D350" s="1854" t="s">
        <v>3697</v>
      </c>
      <c r="E350" s="1854" t="s">
        <v>3698</v>
      </c>
      <c r="F350" s="1854" t="s">
        <v>2610</v>
      </c>
      <c r="G350" s="1854" t="s">
        <v>22</v>
      </c>
      <c r="H350" s="1854" t="s">
        <v>22</v>
      </c>
      <c r="I350" s="1854" t="s">
        <v>1068</v>
      </c>
    </row>
    <row customHeight="1" ht="11.25">
      <c r="A351" s="1854" t="s">
        <v>2542</v>
      </c>
      <c r="B351" s="1854" t="s">
        <v>16</v>
      </c>
      <c r="C351" s="1854" t="s">
        <v>3699</v>
      </c>
      <c r="D351" s="1854" t="s">
        <v>3700</v>
      </c>
      <c r="E351" s="1854" t="s">
        <v>3701</v>
      </c>
      <c r="F351" s="1854" t="s">
        <v>2573</v>
      </c>
      <c r="G351" s="1854" t="s">
        <v>22</v>
      </c>
      <c r="H351" s="1854" t="s">
        <v>22</v>
      </c>
      <c r="I351" s="1854" t="s">
        <v>1068</v>
      </c>
    </row>
    <row customHeight="1" ht="11.25">
      <c r="A352" s="1854" t="s">
        <v>2542</v>
      </c>
      <c r="B352" s="1854" t="s">
        <v>16</v>
      </c>
      <c r="C352" s="1854" t="s">
        <v>3702</v>
      </c>
      <c r="D352" s="1854" t="s">
        <v>3703</v>
      </c>
      <c r="E352" s="1854" t="s">
        <v>3704</v>
      </c>
      <c r="F352" s="1854" t="s">
        <v>3592</v>
      </c>
      <c r="G352" s="1854" t="s">
        <v>22</v>
      </c>
      <c r="H352" s="1854" t="s">
        <v>22</v>
      </c>
      <c r="I352" s="1854" t="s">
        <v>1068</v>
      </c>
    </row>
    <row customHeight="1" ht="11.25">
      <c r="A353" s="1854" t="s">
        <v>2542</v>
      </c>
      <c r="B353" s="1854" t="s">
        <v>16</v>
      </c>
      <c r="C353" s="1854" t="s">
        <v>3705</v>
      </c>
      <c r="D353" s="1854" t="s">
        <v>3706</v>
      </c>
      <c r="E353" s="1854" t="s">
        <v>3707</v>
      </c>
      <c r="F353" s="1854" t="s">
        <v>3102</v>
      </c>
      <c r="G353" s="1854" t="s">
        <v>22</v>
      </c>
      <c r="H353" s="1854" t="s">
        <v>22</v>
      </c>
      <c r="I353" s="1854" t="s">
        <v>1068</v>
      </c>
    </row>
    <row customHeight="1" ht="11.25">
      <c r="A354" s="1854" t="s">
        <v>2542</v>
      </c>
      <c r="B354" s="1854" t="s">
        <v>16</v>
      </c>
      <c r="C354" s="1854" t="s">
        <v>3708</v>
      </c>
      <c r="D354" s="1854" t="s">
        <v>3709</v>
      </c>
      <c r="E354" s="1854" t="s">
        <v>3710</v>
      </c>
      <c r="F354" s="1854" t="s">
        <v>2584</v>
      </c>
      <c r="G354" s="1854" t="s">
        <v>22</v>
      </c>
      <c r="H354" s="1854" t="s">
        <v>22</v>
      </c>
      <c r="I354" s="1854" t="s">
        <v>1068</v>
      </c>
    </row>
    <row customHeight="1" ht="11.25">
      <c r="A355" s="1854" t="s">
        <v>2542</v>
      </c>
      <c r="B355" s="1854" t="s">
        <v>16</v>
      </c>
      <c r="C355" s="1854" t="s">
        <v>3711</v>
      </c>
      <c r="D355" s="1854" t="s">
        <v>3712</v>
      </c>
      <c r="E355" s="1854" t="s">
        <v>3713</v>
      </c>
      <c r="F355" s="1854" t="s">
        <v>3156</v>
      </c>
      <c r="G355" s="1854" t="s">
        <v>22</v>
      </c>
      <c r="H355" s="1854" t="s">
        <v>22</v>
      </c>
      <c r="I355" s="1854" t="s">
        <v>1068</v>
      </c>
    </row>
    <row customHeight="1" ht="11.25">
      <c r="A356" s="1854" t="s">
        <v>2542</v>
      </c>
      <c r="B356" s="1854" t="s">
        <v>16</v>
      </c>
      <c r="C356" s="1854" t="s">
        <v>3714</v>
      </c>
      <c r="D356" s="1854" t="s">
        <v>3715</v>
      </c>
      <c r="E356" s="1854" t="s">
        <v>3716</v>
      </c>
      <c r="F356" s="1854" t="s">
        <v>3256</v>
      </c>
      <c r="G356" s="1854" t="s">
        <v>22</v>
      </c>
      <c r="H356" s="1854" t="s">
        <v>22</v>
      </c>
      <c r="I356" s="1854" t="s">
        <v>1068</v>
      </c>
    </row>
    <row customHeight="1" ht="11.25">
      <c r="A357" s="1854" t="s">
        <v>2542</v>
      </c>
      <c r="B357" s="1854" t="s">
        <v>16</v>
      </c>
      <c r="C357" s="1854" t="s">
        <v>3717</v>
      </c>
      <c r="D357" s="1854" t="s">
        <v>3718</v>
      </c>
      <c r="E357" s="1854" t="s">
        <v>3719</v>
      </c>
      <c r="F357" s="1854" t="s">
        <v>3720</v>
      </c>
      <c r="G357" s="1854" t="s">
        <v>3721</v>
      </c>
      <c r="H357" s="1854" t="s">
        <v>22</v>
      </c>
      <c r="I357" s="1854" t="s">
        <v>1068</v>
      </c>
    </row>
    <row customHeight="1" ht="11.25">
      <c r="A358" s="1854" t="s">
        <v>2542</v>
      </c>
      <c r="B358" s="1854" t="s">
        <v>16</v>
      </c>
      <c r="C358" s="1854" t="s">
        <v>3722</v>
      </c>
      <c r="D358" s="1854" t="s">
        <v>3723</v>
      </c>
      <c r="E358" s="1854" t="s">
        <v>3724</v>
      </c>
      <c r="F358" s="1854" t="s">
        <v>2573</v>
      </c>
      <c r="G358" s="1854" t="s">
        <v>22</v>
      </c>
      <c r="H358" s="1854" t="s">
        <v>22</v>
      </c>
      <c r="I358" s="1854" t="s">
        <v>1068</v>
      </c>
    </row>
    <row customHeight="1" ht="11.25">
      <c r="A359" s="1854" t="s">
        <v>2542</v>
      </c>
      <c r="B359" s="1854" t="s">
        <v>16</v>
      </c>
      <c r="C359" s="1854" t="s">
        <v>3725</v>
      </c>
      <c r="D359" s="1854" t="s">
        <v>3726</v>
      </c>
      <c r="E359" s="1854" t="s">
        <v>3727</v>
      </c>
      <c r="F359" s="1854" t="s">
        <v>2606</v>
      </c>
      <c r="G359" s="1854" t="s">
        <v>22</v>
      </c>
      <c r="H359" s="1854" t="s">
        <v>22</v>
      </c>
      <c r="I359" s="1854" t="s">
        <v>1068</v>
      </c>
    </row>
    <row customHeight="1" ht="11.25">
      <c r="A360" s="1854" t="s">
        <v>2542</v>
      </c>
      <c r="B360" s="1854" t="s">
        <v>16</v>
      </c>
      <c r="C360" s="1854" t="s">
        <v>3728</v>
      </c>
      <c r="D360" s="1854" t="s">
        <v>3729</v>
      </c>
      <c r="E360" s="1854" t="s">
        <v>3730</v>
      </c>
      <c r="F360" s="1854" t="s">
        <v>3731</v>
      </c>
      <c r="G360" s="1854" t="s">
        <v>22</v>
      </c>
      <c r="H360" s="1854" t="s">
        <v>22</v>
      </c>
      <c r="I360" s="1854" t="s">
        <v>1068</v>
      </c>
    </row>
    <row customHeight="1" ht="11.25">
      <c r="A361" s="1854" t="s">
        <v>2542</v>
      </c>
      <c r="B361" s="1854" t="s">
        <v>16</v>
      </c>
      <c r="C361" s="1854" t="s">
        <v>3732</v>
      </c>
      <c r="D361" s="1854" t="s">
        <v>3733</v>
      </c>
      <c r="E361" s="1854" t="s">
        <v>3734</v>
      </c>
      <c r="F361" s="1854" t="s">
        <v>2821</v>
      </c>
      <c r="G361" s="1854" t="s">
        <v>22</v>
      </c>
      <c r="H361" s="1854" t="s">
        <v>22</v>
      </c>
      <c r="I361" s="1854" t="s">
        <v>1068</v>
      </c>
    </row>
    <row customHeight="1" ht="11.25">
      <c r="A362" s="1854" t="s">
        <v>2542</v>
      </c>
      <c r="B362" s="1854" t="s">
        <v>16</v>
      </c>
      <c r="C362" s="1854" t="s">
        <v>3735</v>
      </c>
      <c r="D362" s="1854" t="s">
        <v>3736</v>
      </c>
      <c r="E362" s="1854" t="s">
        <v>3737</v>
      </c>
      <c r="F362" s="1854" t="s">
        <v>2828</v>
      </c>
      <c r="G362" s="1854" t="s">
        <v>22</v>
      </c>
      <c r="H362" s="1854" t="s">
        <v>22</v>
      </c>
      <c r="I362" s="1854" t="s">
        <v>1068</v>
      </c>
    </row>
    <row customHeight="1" ht="11.25">
      <c r="A363" s="1854" t="s">
        <v>2542</v>
      </c>
      <c r="B363" s="1854" t="s">
        <v>16</v>
      </c>
      <c r="C363" s="1854" t="s">
        <v>3738</v>
      </c>
      <c r="D363" s="1854" t="s">
        <v>3739</v>
      </c>
      <c r="E363" s="1854" t="s">
        <v>3740</v>
      </c>
      <c r="F363" s="1854" t="s">
        <v>2591</v>
      </c>
      <c r="G363" s="1854" t="s">
        <v>22</v>
      </c>
      <c r="H363" s="1854" t="s">
        <v>22</v>
      </c>
      <c r="I363" s="1854" t="s">
        <v>1068</v>
      </c>
    </row>
    <row customHeight="1" ht="11.25">
      <c r="A364" s="1854" t="s">
        <v>2542</v>
      </c>
      <c r="B364" s="1854" t="s">
        <v>16</v>
      </c>
      <c r="C364" s="1854" t="s">
        <v>3741</v>
      </c>
      <c r="D364" s="1854" t="s">
        <v>3742</v>
      </c>
      <c r="E364" s="1854" t="s">
        <v>3743</v>
      </c>
      <c r="F364" s="1854" t="s">
        <v>2679</v>
      </c>
      <c r="G364" s="1854" t="s">
        <v>22</v>
      </c>
      <c r="H364" s="1854" t="s">
        <v>22</v>
      </c>
      <c r="I364" s="1854" t="s">
        <v>1068</v>
      </c>
    </row>
    <row customHeight="1" ht="11.25">
      <c r="A365" s="1854" t="s">
        <v>2542</v>
      </c>
      <c r="B365" s="1854" t="s">
        <v>16</v>
      </c>
      <c r="C365" s="1854" t="s">
        <v>3744</v>
      </c>
      <c r="D365" s="1854" t="s">
        <v>3745</v>
      </c>
      <c r="E365" s="1854" t="s">
        <v>3746</v>
      </c>
      <c r="F365" s="1854" t="s">
        <v>2599</v>
      </c>
      <c r="G365" s="1854" t="s">
        <v>22</v>
      </c>
      <c r="H365" s="1854" t="s">
        <v>22</v>
      </c>
      <c r="I365" s="1854" t="s">
        <v>1068</v>
      </c>
    </row>
    <row customHeight="1" ht="11.25">
      <c r="A366" s="1854" t="s">
        <v>2542</v>
      </c>
      <c r="B366" s="1854" t="s">
        <v>16</v>
      </c>
      <c r="C366" s="1854" t="s">
        <v>3747</v>
      </c>
      <c r="D366" s="1854" t="s">
        <v>3748</v>
      </c>
      <c r="E366" s="1854" t="s">
        <v>3749</v>
      </c>
      <c r="F366" s="1854" t="s">
        <v>2550</v>
      </c>
      <c r="G366" s="1854" t="s">
        <v>22</v>
      </c>
      <c r="H366" s="1854" t="s">
        <v>22</v>
      </c>
      <c r="I366" s="1854" t="s">
        <v>1068</v>
      </c>
    </row>
    <row customHeight="1" ht="11.25">
      <c r="A367" s="1854" t="s">
        <v>2542</v>
      </c>
      <c r="B367" s="1854" t="s">
        <v>16</v>
      </c>
      <c r="C367" s="1854" t="s">
        <v>3750</v>
      </c>
      <c r="D367" s="1854" t="s">
        <v>3751</v>
      </c>
      <c r="E367" s="1854" t="s">
        <v>3752</v>
      </c>
      <c r="F367" s="1854" t="s">
        <v>2620</v>
      </c>
      <c r="G367" s="1854" t="s">
        <v>22</v>
      </c>
      <c r="H367" s="1854" t="s">
        <v>22</v>
      </c>
      <c r="I367" s="1854" t="s">
        <v>1068</v>
      </c>
    </row>
    <row customHeight="1" ht="11.25">
      <c r="A368" s="1854" t="s">
        <v>2542</v>
      </c>
      <c r="B368" s="1854" t="s">
        <v>16</v>
      </c>
      <c r="C368" s="1854" t="s">
        <v>3753</v>
      </c>
      <c r="D368" s="1854" t="s">
        <v>3754</v>
      </c>
      <c r="E368" s="1854" t="s">
        <v>3755</v>
      </c>
      <c r="F368" s="1854" t="s">
        <v>2620</v>
      </c>
      <c r="G368" s="1854" t="s">
        <v>22</v>
      </c>
      <c r="H368" s="1854" t="s">
        <v>22</v>
      </c>
      <c r="I368" s="1854" t="s">
        <v>1068</v>
      </c>
    </row>
    <row customHeight="1" ht="11.25">
      <c r="A369" s="1854" t="s">
        <v>2542</v>
      </c>
      <c r="B369" s="1854" t="s">
        <v>16</v>
      </c>
      <c r="C369" s="1854" t="s">
        <v>3756</v>
      </c>
      <c r="D369" s="1854" t="s">
        <v>3757</v>
      </c>
      <c r="E369" s="1854" t="s">
        <v>3758</v>
      </c>
      <c r="F369" s="1854" t="s">
        <v>2817</v>
      </c>
      <c r="G369" s="1854" t="s">
        <v>22</v>
      </c>
      <c r="H369" s="1854" t="s">
        <v>22</v>
      </c>
      <c r="I369" s="1854" t="s">
        <v>1068</v>
      </c>
    </row>
    <row customHeight="1" ht="11.25">
      <c r="A370" s="1854" t="s">
        <v>2542</v>
      </c>
      <c r="B370" s="1854" t="s">
        <v>16</v>
      </c>
      <c r="C370" s="1854" t="s">
        <v>3759</v>
      </c>
      <c r="D370" s="1854" t="s">
        <v>3760</v>
      </c>
      <c r="E370" s="1854" t="s">
        <v>3761</v>
      </c>
      <c r="F370" s="1854" t="s">
        <v>2550</v>
      </c>
      <c r="G370" s="1854" t="s">
        <v>22</v>
      </c>
      <c r="H370" s="1854" t="s">
        <v>22</v>
      </c>
      <c r="I370" s="1854" t="s">
        <v>1068</v>
      </c>
    </row>
    <row customHeight="1" ht="11.25">
      <c r="A371" s="1854" t="s">
        <v>2542</v>
      </c>
      <c r="B371" s="1854" t="s">
        <v>16</v>
      </c>
      <c r="C371" s="1854" t="s">
        <v>3762</v>
      </c>
      <c r="D371" s="1854" t="s">
        <v>3763</v>
      </c>
      <c r="E371" s="1854" t="s">
        <v>3764</v>
      </c>
      <c r="F371" s="1854" t="s">
        <v>2620</v>
      </c>
      <c r="G371" s="1854" t="s">
        <v>3765</v>
      </c>
      <c r="H371" s="1854" t="s">
        <v>22</v>
      </c>
      <c r="I371" s="1854" t="s">
        <v>1068</v>
      </c>
    </row>
    <row customHeight="1" ht="11.25">
      <c r="A372" s="1854" t="s">
        <v>2542</v>
      </c>
      <c r="B372" s="1854" t="s">
        <v>16</v>
      </c>
      <c r="C372" s="1854" t="s">
        <v>3766</v>
      </c>
      <c r="D372" s="1854" t="s">
        <v>3767</v>
      </c>
      <c r="E372" s="1854" t="s">
        <v>3768</v>
      </c>
      <c r="F372" s="1854" t="s">
        <v>50</v>
      </c>
      <c r="G372" s="1854" t="s">
        <v>22</v>
      </c>
      <c r="H372" s="1854" t="s">
        <v>22</v>
      </c>
      <c r="I372" s="1854" t="s">
        <v>1068</v>
      </c>
    </row>
    <row customHeight="1" ht="11.25">
      <c r="A373" s="1854" t="s">
        <v>2542</v>
      </c>
      <c r="B373" s="1854" t="s">
        <v>16</v>
      </c>
      <c r="C373" s="1854" t="s">
        <v>3769</v>
      </c>
      <c r="D373" s="1854" t="s">
        <v>3770</v>
      </c>
      <c r="E373" s="1854" t="s">
        <v>3771</v>
      </c>
      <c r="F373" s="1854" t="s">
        <v>2665</v>
      </c>
      <c r="G373" s="1854" t="s">
        <v>3772</v>
      </c>
      <c r="H373" s="1854" t="s">
        <v>22</v>
      </c>
      <c r="I373" s="1854" t="s">
        <v>1068</v>
      </c>
    </row>
    <row customHeight="1" ht="11.25">
      <c r="A374" s="1854" t="s">
        <v>2542</v>
      </c>
      <c r="B374" s="1854" t="s">
        <v>16</v>
      </c>
      <c r="C374" s="1854" t="s">
        <v>3773</v>
      </c>
      <c r="D374" s="1854" t="s">
        <v>3774</v>
      </c>
      <c r="E374" s="1854" t="s">
        <v>3775</v>
      </c>
      <c r="F374" s="1854" t="s">
        <v>2550</v>
      </c>
      <c r="G374" s="1854" t="s">
        <v>22</v>
      </c>
      <c r="H374" s="1854" t="s">
        <v>22</v>
      </c>
      <c r="I374" s="1854" t="s">
        <v>1068</v>
      </c>
    </row>
    <row customHeight="1" ht="11.25">
      <c r="A375" s="1854" t="s">
        <v>2542</v>
      </c>
      <c r="B375" s="1854" t="s">
        <v>16</v>
      </c>
      <c r="C375" s="1854" t="s">
        <v>3776</v>
      </c>
      <c r="D375" s="1854" t="s">
        <v>3777</v>
      </c>
      <c r="E375" s="1854" t="s">
        <v>3778</v>
      </c>
      <c r="F375" s="1854" t="s">
        <v>2743</v>
      </c>
      <c r="G375" s="1854" t="s">
        <v>22</v>
      </c>
      <c r="H375" s="1854" t="s">
        <v>22</v>
      </c>
      <c r="I375" s="1854" t="s">
        <v>1068</v>
      </c>
    </row>
    <row customHeight="1" ht="11.25">
      <c r="A376" s="1854" t="s">
        <v>2542</v>
      </c>
      <c r="B376" s="1854" t="s">
        <v>16</v>
      </c>
      <c r="C376" s="1854" t="s">
        <v>3779</v>
      </c>
      <c r="D376" s="1854" t="s">
        <v>3780</v>
      </c>
      <c r="E376" s="1854" t="s">
        <v>3781</v>
      </c>
      <c r="F376" s="1854" t="s">
        <v>2610</v>
      </c>
      <c r="G376" s="1854" t="s">
        <v>22</v>
      </c>
      <c r="H376" s="1854" t="s">
        <v>22</v>
      </c>
      <c r="I376" s="1854" t="s">
        <v>1068</v>
      </c>
    </row>
    <row customHeight="1" ht="11.25">
      <c r="A377" s="1854" t="s">
        <v>2542</v>
      </c>
      <c r="B377" s="1854" t="s">
        <v>16</v>
      </c>
      <c r="C377" s="1854" t="s">
        <v>3782</v>
      </c>
      <c r="D377" s="1854" t="s">
        <v>3783</v>
      </c>
      <c r="E377" s="1854" t="s">
        <v>3784</v>
      </c>
      <c r="F377" s="1854" t="s">
        <v>2550</v>
      </c>
      <c r="G377" s="1854" t="s">
        <v>22</v>
      </c>
      <c r="H377" s="1854" t="s">
        <v>22</v>
      </c>
      <c r="I377" s="1854" t="s">
        <v>1068</v>
      </c>
    </row>
    <row customHeight="1" ht="11.25">
      <c r="A378" s="1854" t="s">
        <v>2542</v>
      </c>
      <c r="B378" s="1854" t="s">
        <v>16</v>
      </c>
      <c r="C378" s="1854" t="s">
        <v>3785</v>
      </c>
      <c r="D378" s="1854" t="s">
        <v>3786</v>
      </c>
      <c r="E378" s="1854" t="s">
        <v>3787</v>
      </c>
      <c r="F378" s="1854" t="s">
        <v>2550</v>
      </c>
      <c r="G378" s="1854" t="s">
        <v>22</v>
      </c>
      <c r="H378" s="1854" t="s">
        <v>22</v>
      </c>
      <c r="I378" s="1854" t="s">
        <v>1068</v>
      </c>
    </row>
    <row customHeight="1" ht="11.25">
      <c r="A379" s="1854" t="s">
        <v>2542</v>
      </c>
      <c r="B379" s="1854" t="s">
        <v>16</v>
      </c>
      <c r="C379" s="1854" t="s">
        <v>3788</v>
      </c>
      <c r="D379" s="1854" t="s">
        <v>3789</v>
      </c>
      <c r="E379" s="1854" t="s">
        <v>3790</v>
      </c>
      <c r="F379" s="1854" t="s">
        <v>2550</v>
      </c>
      <c r="G379" s="1854" t="s">
        <v>22</v>
      </c>
      <c r="H379" s="1854" t="s">
        <v>22</v>
      </c>
      <c r="I379" s="1854" t="s">
        <v>1068</v>
      </c>
    </row>
    <row customHeight="1" ht="11.25">
      <c r="A380" s="1854" t="s">
        <v>2542</v>
      </c>
      <c r="B380" s="1854" t="s">
        <v>16</v>
      </c>
      <c r="C380" s="1854" t="s">
        <v>3791</v>
      </c>
      <c r="D380" s="1854" t="s">
        <v>3792</v>
      </c>
      <c r="E380" s="1854" t="s">
        <v>3793</v>
      </c>
      <c r="F380" s="1854" t="s">
        <v>2606</v>
      </c>
      <c r="G380" s="1854" t="s">
        <v>22</v>
      </c>
      <c r="H380" s="1854" t="s">
        <v>22</v>
      </c>
      <c r="I380" s="1854" t="s">
        <v>1068</v>
      </c>
    </row>
    <row customHeight="1" ht="11.25">
      <c r="A381" s="1854" t="s">
        <v>2542</v>
      </c>
      <c r="B381" s="1854" t="s">
        <v>16</v>
      </c>
      <c r="C381" s="1854" t="s">
        <v>3794</v>
      </c>
      <c r="D381" s="1854" t="s">
        <v>3795</v>
      </c>
      <c r="E381" s="1854" t="s">
        <v>3796</v>
      </c>
      <c r="F381" s="1854" t="s">
        <v>2550</v>
      </c>
      <c r="G381" s="1854" t="s">
        <v>3797</v>
      </c>
      <c r="H381" s="1854" t="s">
        <v>22</v>
      </c>
      <c r="I381" s="1854" t="s">
        <v>1068</v>
      </c>
    </row>
    <row customHeight="1" ht="11.25">
      <c r="A382" s="1854" t="s">
        <v>2542</v>
      </c>
      <c r="B382" s="1854" t="s">
        <v>16</v>
      </c>
      <c r="C382" s="1854" t="s">
        <v>3798</v>
      </c>
      <c r="D382" s="1854" t="s">
        <v>3799</v>
      </c>
      <c r="E382" s="1854" t="s">
        <v>3800</v>
      </c>
      <c r="F382" s="1854" t="s">
        <v>2591</v>
      </c>
      <c r="G382" s="1854" t="s">
        <v>22</v>
      </c>
      <c r="H382" s="1854" t="s">
        <v>22</v>
      </c>
      <c r="I382" s="1854" t="s">
        <v>1068</v>
      </c>
    </row>
    <row customHeight="1" ht="11.25">
      <c r="A383" s="1854" t="s">
        <v>2542</v>
      </c>
      <c r="B383" s="1854" t="s">
        <v>16</v>
      </c>
      <c r="C383" s="1854" t="s">
        <v>3801</v>
      </c>
      <c r="D383" s="1854" t="s">
        <v>3802</v>
      </c>
      <c r="E383" s="1854" t="s">
        <v>3803</v>
      </c>
      <c r="F383" s="1854" t="s">
        <v>2599</v>
      </c>
      <c r="G383" s="1854" t="s">
        <v>22</v>
      </c>
      <c r="H383" s="1854" t="s">
        <v>22</v>
      </c>
      <c r="I383" s="1854" t="s">
        <v>1068</v>
      </c>
    </row>
    <row customHeight="1" ht="11.25">
      <c r="A384" s="1854" t="s">
        <v>2542</v>
      </c>
      <c r="B384" s="1854" t="s">
        <v>16</v>
      </c>
      <c r="C384" s="1854" t="s">
        <v>3804</v>
      </c>
      <c r="D384" s="1854" t="s">
        <v>3805</v>
      </c>
      <c r="E384" s="1854" t="s">
        <v>3806</v>
      </c>
      <c r="F384" s="1854" t="s">
        <v>2925</v>
      </c>
      <c r="G384" s="1854" t="s">
        <v>22</v>
      </c>
      <c r="H384" s="1854" t="s">
        <v>22</v>
      </c>
      <c r="I384" s="1854" t="s">
        <v>1068</v>
      </c>
    </row>
    <row customHeight="1" ht="11.25">
      <c r="A385" s="1854" t="s">
        <v>2542</v>
      </c>
      <c r="B385" s="1854" t="s">
        <v>16</v>
      </c>
      <c r="C385" s="1854" t="s">
        <v>3807</v>
      </c>
      <c r="D385" s="1854" t="s">
        <v>3808</v>
      </c>
      <c r="E385" s="1854" t="s">
        <v>3809</v>
      </c>
      <c r="F385" s="1854" t="s">
        <v>2599</v>
      </c>
      <c r="G385" s="1854" t="s">
        <v>22</v>
      </c>
      <c r="H385" s="1854" t="s">
        <v>22</v>
      </c>
      <c r="I385" s="1854" t="s">
        <v>1068</v>
      </c>
    </row>
    <row customHeight="1" ht="11.25">
      <c r="A386" s="1854" t="s">
        <v>2542</v>
      </c>
      <c r="B386" s="1854" t="s">
        <v>16</v>
      </c>
      <c r="C386" s="1854" t="s">
        <v>3810</v>
      </c>
      <c r="D386" s="1854" t="s">
        <v>3811</v>
      </c>
      <c r="E386" s="1854" t="s">
        <v>3812</v>
      </c>
      <c r="F386" s="1854" t="s">
        <v>2767</v>
      </c>
      <c r="G386" s="1854" t="s">
        <v>22</v>
      </c>
      <c r="H386" s="1854" t="s">
        <v>22</v>
      </c>
      <c r="I386" s="1854" t="s">
        <v>1068</v>
      </c>
    </row>
    <row customHeight="1" ht="11.25">
      <c r="A387" s="1854" t="s">
        <v>2542</v>
      </c>
      <c r="B387" s="1854" t="s">
        <v>16</v>
      </c>
      <c r="C387" s="1854" t="s">
        <v>3813</v>
      </c>
      <c r="D387" s="1854" t="s">
        <v>3814</v>
      </c>
      <c r="E387" s="1854" t="s">
        <v>3815</v>
      </c>
      <c r="F387" s="1854" t="s">
        <v>2917</v>
      </c>
      <c r="G387" s="1854" t="s">
        <v>22</v>
      </c>
      <c r="H387" s="1854" t="s">
        <v>22</v>
      </c>
      <c r="I387" s="1854" t="s">
        <v>1068</v>
      </c>
    </row>
    <row customHeight="1" ht="11.25">
      <c r="A388" s="1854" t="s">
        <v>2542</v>
      </c>
      <c r="B388" s="1854" t="s">
        <v>16</v>
      </c>
      <c r="C388" s="1854" t="s">
        <v>3816</v>
      </c>
      <c r="D388" s="1854" t="s">
        <v>3817</v>
      </c>
      <c r="E388" s="1854" t="s">
        <v>3818</v>
      </c>
      <c r="F388" s="1854" t="s">
        <v>2679</v>
      </c>
      <c r="G388" s="1854" t="s">
        <v>22</v>
      </c>
      <c r="H388" s="1854" t="s">
        <v>22</v>
      </c>
      <c r="I388" s="1854" t="s">
        <v>1068</v>
      </c>
    </row>
    <row customHeight="1" ht="11.25">
      <c r="A389" s="1854" t="s">
        <v>2542</v>
      </c>
      <c r="B389" s="1854" t="s">
        <v>16</v>
      </c>
      <c r="C389" s="1854" t="s">
        <v>3819</v>
      </c>
      <c r="D389" s="1854" t="s">
        <v>3820</v>
      </c>
      <c r="E389" s="1854" t="s">
        <v>3821</v>
      </c>
      <c r="F389" s="1854" t="s">
        <v>2767</v>
      </c>
      <c r="G389" s="1854" t="s">
        <v>22</v>
      </c>
      <c r="H389" s="1854" t="s">
        <v>22</v>
      </c>
      <c r="I389" s="1854" t="s">
        <v>1068</v>
      </c>
    </row>
    <row customHeight="1" ht="11.25">
      <c r="A390" s="1854" t="s">
        <v>2542</v>
      </c>
      <c r="B390" s="1854" t="s">
        <v>16</v>
      </c>
      <c r="C390" s="1854" t="s">
        <v>3822</v>
      </c>
      <c r="D390" s="1854" t="s">
        <v>3823</v>
      </c>
      <c r="E390" s="1854" t="s">
        <v>3824</v>
      </c>
      <c r="F390" s="1854" t="s">
        <v>50</v>
      </c>
      <c r="G390" s="1854" t="s">
        <v>22</v>
      </c>
      <c r="H390" s="1854" t="s">
        <v>22</v>
      </c>
      <c r="I390" s="1854" t="s">
        <v>1068</v>
      </c>
    </row>
    <row customHeight="1" ht="11.25">
      <c r="A391" s="1854" t="s">
        <v>2542</v>
      </c>
      <c r="B391" s="1854" t="s">
        <v>16</v>
      </c>
      <c r="C391" s="1854" t="s">
        <v>3825</v>
      </c>
      <c r="D391" s="1854" t="s">
        <v>3826</v>
      </c>
      <c r="E391" s="1854" t="s">
        <v>3827</v>
      </c>
      <c r="F391" s="1854" t="s">
        <v>3102</v>
      </c>
      <c r="G391" s="1854" t="s">
        <v>22</v>
      </c>
      <c r="H391" s="1854" t="s">
        <v>22</v>
      </c>
      <c r="I391" s="1854" t="s">
        <v>1068</v>
      </c>
    </row>
    <row customHeight="1" ht="11.25">
      <c r="A392" s="1854" t="s">
        <v>2542</v>
      </c>
      <c r="B392" s="1854" t="s">
        <v>16</v>
      </c>
      <c r="C392" s="1854" t="s">
        <v>3828</v>
      </c>
      <c r="D392" s="1854" t="s">
        <v>3829</v>
      </c>
      <c r="E392" s="1854" t="s">
        <v>3830</v>
      </c>
      <c r="F392" s="1854" t="s">
        <v>2550</v>
      </c>
      <c r="G392" s="1854" t="s">
        <v>3831</v>
      </c>
      <c r="H392" s="1854" t="s">
        <v>22</v>
      </c>
      <c r="I392" s="1854" t="s">
        <v>1068</v>
      </c>
    </row>
    <row customHeight="1" ht="11.25">
      <c r="A393" s="1854" t="s">
        <v>2542</v>
      </c>
      <c r="B393" s="1854" t="s">
        <v>16</v>
      </c>
      <c r="C393" s="1854" t="s">
        <v>3832</v>
      </c>
      <c r="D393" s="1854" t="s">
        <v>3833</v>
      </c>
      <c r="E393" s="1854" t="s">
        <v>3834</v>
      </c>
      <c r="F393" s="1854" t="s">
        <v>2679</v>
      </c>
      <c r="G393" s="1854" t="s">
        <v>22</v>
      </c>
      <c r="H393" s="1854" t="s">
        <v>22</v>
      </c>
      <c r="I393" s="1854" t="s">
        <v>1068</v>
      </c>
    </row>
    <row customHeight="1" ht="11.25">
      <c r="A394" s="1854" t="s">
        <v>2542</v>
      </c>
      <c r="B394" s="1854" t="s">
        <v>16</v>
      </c>
      <c r="C394" s="1854" t="s">
        <v>3835</v>
      </c>
      <c r="D394" s="1854" t="s">
        <v>3836</v>
      </c>
      <c r="E394" s="1854" t="s">
        <v>3837</v>
      </c>
      <c r="F394" s="1854" t="s">
        <v>2584</v>
      </c>
      <c r="G394" s="1854" t="s">
        <v>22</v>
      </c>
      <c r="H394" s="1854" t="s">
        <v>22</v>
      </c>
      <c r="I394" s="1854" t="s">
        <v>1068</v>
      </c>
    </row>
    <row customHeight="1" ht="11.25">
      <c r="A395" s="1854" t="s">
        <v>2542</v>
      </c>
      <c r="B395" s="1854" t="s">
        <v>16</v>
      </c>
      <c r="C395" s="1854" t="s">
        <v>3838</v>
      </c>
      <c r="D395" s="1854" t="s">
        <v>3839</v>
      </c>
      <c r="E395" s="1854" t="s">
        <v>3840</v>
      </c>
      <c r="F395" s="1854" t="s">
        <v>2591</v>
      </c>
      <c r="G395" s="1854" t="s">
        <v>22</v>
      </c>
      <c r="H395" s="1854" t="s">
        <v>22</v>
      </c>
      <c r="I395" s="1854" t="s">
        <v>1068</v>
      </c>
    </row>
    <row customHeight="1" ht="11.25">
      <c r="A396" s="1854" t="s">
        <v>2542</v>
      </c>
      <c r="B396" s="1854" t="s">
        <v>16</v>
      </c>
      <c r="C396" s="1854" t="s">
        <v>3841</v>
      </c>
      <c r="D396" s="1854" t="s">
        <v>3842</v>
      </c>
      <c r="E396" s="1854" t="s">
        <v>2594</v>
      </c>
      <c r="F396" s="1854" t="s">
        <v>3843</v>
      </c>
      <c r="G396" s="1854" t="s">
        <v>22</v>
      </c>
      <c r="H396" s="1854" t="s">
        <v>22</v>
      </c>
      <c r="I396" s="1854" t="s">
        <v>1068</v>
      </c>
    </row>
    <row customHeight="1" ht="11.25">
      <c r="A397" s="1854" t="s">
        <v>2542</v>
      </c>
      <c r="B397" s="1854" t="s">
        <v>16</v>
      </c>
      <c r="C397" s="1854" t="s">
        <v>3844</v>
      </c>
      <c r="D397" s="1854" t="s">
        <v>3845</v>
      </c>
      <c r="E397" s="1854" t="s">
        <v>3846</v>
      </c>
      <c r="F397" s="1854" t="s">
        <v>2550</v>
      </c>
      <c r="G397" s="1854" t="s">
        <v>3847</v>
      </c>
      <c r="H397" s="1854" t="s">
        <v>22</v>
      </c>
      <c r="I397" s="1854" t="s">
        <v>1068</v>
      </c>
    </row>
    <row customHeight="1" ht="11.25">
      <c r="A398" s="1854" t="s">
        <v>2542</v>
      </c>
      <c r="B398" s="1854" t="s">
        <v>16</v>
      </c>
      <c r="C398" s="1854" t="s">
        <v>3848</v>
      </c>
      <c r="D398" s="1854" t="s">
        <v>3849</v>
      </c>
      <c r="E398" s="1854" t="s">
        <v>3850</v>
      </c>
      <c r="F398" s="1854" t="s">
        <v>2973</v>
      </c>
      <c r="G398" s="1854" t="s">
        <v>22</v>
      </c>
      <c r="H398" s="1854" t="s">
        <v>22</v>
      </c>
      <c r="I398" s="1854" t="s">
        <v>1068</v>
      </c>
    </row>
    <row customHeight="1" ht="11.25">
      <c r="A399" s="1854" t="s">
        <v>2542</v>
      </c>
      <c r="B399" s="1854" t="s">
        <v>16</v>
      </c>
      <c r="C399" s="1854" t="s">
        <v>3851</v>
      </c>
      <c r="D399" s="1854" t="s">
        <v>3852</v>
      </c>
      <c r="E399" s="1854" t="s">
        <v>3853</v>
      </c>
      <c r="F399" s="1854" t="s">
        <v>2620</v>
      </c>
      <c r="G399" s="1854" t="s">
        <v>22</v>
      </c>
      <c r="H399" s="1854" t="s">
        <v>22</v>
      </c>
      <c r="I399" s="1854" t="s">
        <v>1068</v>
      </c>
    </row>
    <row customHeight="1" ht="11.25">
      <c r="A400" s="1854" t="s">
        <v>2542</v>
      </c>
      <c r="B400" s="1854" t="s">
        <v>16</v>
      </c>
      <c r="C400" s="1854" t="s">
        <v>3854</v>
      </c>
      <c r="D400" s="1854" t="s">
        <v>3855</v>
      </c>
      <c r="E400" s="1854" t="s">
        <v>3856</v>
      </c>
      <c r="F400" s="1854" t="s">
        <v>2599</v>
      </c>
      <c r="G400" s="1854" t="s">
        <v>22</v>
      </c>
      <c r="H400" s="1854" t="s">
        <v>22</v>
      </c>
      <c r="I400" s="1854" t="s">
        <v>1068</v>
      </c>
    </row>
    <row customHeight="1" ht="11.25">
      <c r="A401" s="1854" t="s">
        <v>2542</v>
      </c>
      <c r="B401" s="1854" t="s">
        <v>16</v>
      </c>
      <c r="C401" s="1854" t="s">
        <v>3857</v>
      </c>
      <c r="D401" s="1854" t="s">
        <v>3858</v>
      </c>
      <c r="E401" s="1854" t="s">
        <v>3859</v>
      </c>
      <c r="F401" s="1854" t="s">
        <v>2679</v>
      </c>
      <c r="G401" s="1854" t="s">
        <v>3860</v>
      </c>
      <c r="H401" s="1854" t="s">
        <v>22</v>
      </c>
      <c r="I401" s="1854" t="s">
        <v>1068</v>
      </c>
    </row>
    <row customHeight="1" ht="11.25">
      <c r="A402" s="1854" t="s">
        <v>2542</v>
      </c>
      <c r="B402" s="1854" t="s">
        <v>16</v>
      </c>
      <c r="C402" s="1854" t="s">
        <v>3861</v>
      </c>
      <c r="D402" s="1854" t="s">
        <v>3862</v>
      </c>
      <c r="E402" s="1854" t="s">
        <v>3863</v>
      </c>
      <c r="F402" s="1854" t="s">
        <v>2729</v>
      </c>
      <c r="G402" s="1854" t="s">
        <v>22</v>
      </c>
      <c r="H402" s="1854" t="s">
        <v>22</v>
      </c>
      <c r="I402" s="1854" t="s">
        <v>1068</v>
      </c>
    </row>
    <row customHeight="1" ht="11.25">
      <c r="A403" s="1854" t="s">
        <v>2542</v>
      </c>
      <c r="B403" s="1854" t="s">
        <v>16</v>
      </c>
      <c r="C403" s="1854" t="s">
        <v>3864</v>
      </c>
      <c r="D403" s="1854" t="s">
        <v>3865</v>
      </c>
      <c r="E403" s="1854" t="s">
        <v>3866</v>
      </c>
      <c r="F403" s="1854" t="s">
        <v>2599</v>
      </c>
      <c r="G403" s="1854" t="s">
        <v>22</v>
      </c>
      <c r="H403" s="1854" t="s">
        <v>22</v>
      </c>
      <c r="I403" s="1854" t="s">
        <v>1068</v>
      </c>
    </row>
    <row customHeight="1" ht="11.25">
      <c r="A404" s="1854" t="s">
        <v>2542</v>
      </c>
      <c r="B404" s="1854" t="s">
        <v>16</v>
      </c>
      <c r="C404" s="1854" t="s">
        <v>3867</v>
      </c>
      <c r="D404" s="1854" t="s">
        <v>3868</v>
      </c>
      <c r="E404" s="1854" t="s">
        <v>3869</v>
      </c>
      <c r="F404" s="1854" t="s">
        <v>2599</v>
      </c>
      <c r="G404" s="1854" t="s">
        <v>22</v>
      </c>
      <c r="H404" s="1854" t="s">
        <v>22</v>
      </c>
      <c r="I404" s="1854" t="s">
        <v>1068</v>
      </c>
    </row>
    <row customHeight="1" ht="11.25">
      <c r="A405" s="1854" t="s">
        <v>2542</v>
      </c>
      <c r="B405" s="1854" t="s">
        <v>16</v>
      </c>
      <c r="C405" s="1854" t="s">
        <v>3870</v>
      </c>
      <c r="D405" s="1854" t="s">
        <v>3871</v>
      </c>
      <c r="E405" s="1854" t="s">
        <v>3872</v>
      </c>
      <c r="F405" s="1854" t="s">
        <v>2917</v>
      </c>
      <c r="G405" s="1854" t="s">
        <v>22</v>
      </c>
      <c r="H405" s="1854" t="s">
        <v>22</v>
      </c>
      <c r="I405" s="1854" t="s">
        <v>1068</v>
      </c>
    </row>
    <row customHeight="1" ht="11.25">
      <c r="A406" s="1854" t="s">
        <v>2542</v>
      </c>
      <c r="B406" s="1854" t="s">
        <v>16</v>
      </c>
      <c r="C406" s="1854" t="s">
        <v>3873</v>
      </c>
      <c r="D406" s="1854" t="s">
        <v>3874</v>
      </c>
      <c r="E406" s="1854" t="s">
        <v>3875</v>
      </c>
      <c r="F406" s="1854" t="s">
        <v>3052</v>
      </c>
      <c r="G406" s="1854" t="s">
        <v>22</v>
      </c>
      <c r="H406" s="1854" t="s">
        <v>22</v>
      </c>
      <c r="I406" s="1854" t="s">
        <v>1068</v>
      </c>
    </row>
    <row customHeight="1" ht="11.25">
      <c r="A407" s="1854" t="s">
        <v>2542</v>
      </c>
      <c r="B407" s="1854" t="s">
        <v>16</v>
      </c>
      <c r="C407" s="1854" t="s">
        <v>3876</v>
      </c>
      <c r="D407" s="1854" t="s">
        <v>3877</v>
      </c>
      <c r="E407" s="1854" t="s">
        <v>3878</v>
      </c>
      <c r="F407" s="1854" t="s">
        <v>2925</v>
      </c>
      <c r="G407" s="1854" t="s">
        <v>22</v>
      </c>
      <c r="H407" s="1854" t="s">
        <v>22</v>
      </c>
      <c r="I407" s="1854" t="s">
        <v>1068</v>
      </c>
    </row>
    <row customHeight="1" ht="11.25">
      <c r="A408" s="1854" t="s">
        <v>2542</v>
      </c>
      <c r="B408" s="1854" t="s">
        <v>16</v>
      </c>
      <c r="C408" s="1854" t="s">
        <v>3879</v>
      </c>
      <c r="D408" s="1854" t="s">
        <v>3880</v>
      </c>
      <c r="E408" s="1854" t="s">
        <v>3881</v>
      </c>
      <c r="F408" s="1854" t="s">
        <v>2599</v>
      </c>
      <c r="G408" s="1854" t="s">
        <v>22</v>
      </c>
      <c r="H408" s="1854" t="s">
        <v>22</v>
      </c>
      <c r="I408" s="1854" t="s">
        <v>1068</v>
      </c>
    </row>
    <row customHeight="1" ht="11.25">
      <c r="A409" s="1854" t="s">
        <v>2542</v>
      </c>
      <c r="B409" s="1854" t="s">
        <v>16</v>
      </c>
      <c r="C409" s="1854" t="s">
        <v>3882</v>
      </c>
      <c r="D409" s="1854" t="s">
        <v>3883</v>
      </c>
      <c r="E409" s="1854" t="s">
        <v>3884</v>
      </c>
      <c r="F409" s="1854" t="s">
        <v>2743</v>
      </c>
      <c r="G409" s="1854" t="s">
        <v>22</v>
      </c>
      <c r="H409" s="1854" t="s">
        <v>22</v>
      </c>
      <c r="I409" s="1854" t="s">
        <v>1068</v>
      </c>
    </row>
    <row customHeight="1" ht="11.25">
      <c r="A410" s="1854" t="s">
        <v>2542</v>
      </c>
      <c r="B410" s="1854" t="s">
        <v>16</v>
      </c>
      <c r="C410" s="1854" t="s">
        <v>3885</v>
      </c>
      <c r="D410" s="1854" t="s">
        <v>3886</v>
      </c>
      <c r="E410" s="1854" t="s">
        <v>3887</v>
      </c>
      <c r="F410" s="1854" t="s">
        <v>2984</v>
      </c>
      <c r="G410" s="1854" t="s">
        <v>22</v>
      </c>
      <c r="H410" s="1854" t="s">
        <v>22</v>
      </c>
      <c r="I410" s="1854" t="s">
        <v>1068</v>
      </c>
    </row>
    <row customHeight="1" ht="11.25">
      <c r="A411" s="1854" t="s">
        <v>2542</v>
      </c>
      <c r="B411" s="1854" t="s">
        <v>16</v>
      </c>
      <c r="C411" s="1854" t="s">
        <v>22</v>
      </c>
      <c r="D411" s="1854" t="s">
        <v>3888</v>
      </c>
      <c r="E411" s="1854" t="s">
        <v>3889</v>
      </c>
      <c r="F411" s="1854" t="s">
        <v>2550</v>
      </c>
      <c r="G411" s="1854" t="s">
        <v>22</v>
      </c>
      <c r="H411" s="1854" t="s">
        <v>22</v>
      </c>
      <c r="I411" s="1854" t="s">
        <v>1068</v>
      </c>
    </row>
    <row customHeight="1" ht="11.25">
      <c r="A412" s="1854" t="s">
        <v>2542</v>
      </c>
      <c r="B412" s="1854" t="s">
        <v>16</v>
      </c>
      <c r="C412" s="1854" t="s">
        <v>3890</v>
      </c>
      <c r="D412" s="1854" t="s">
        <v>3891</v>
      </c>
      <c r="E412" s="1854" t="s">
        <v>3892</v>
      </c>
      <c r="F412" s="1854" t="s">
        <v>3224</v>
      </c>
      <c r="G412" s="1854" t="s">
        <v>22</v>
      </c>
      <c r="H412" s="1854" t="s">
        <v>22</v>
      </c>
      <c r="I412" s="1854" t="s">
        <v>1068</v>
      </c>
    </row>
    <row customHeight="1" ht="11.25">
      <c r="A413" s="1854" t="s">
        <v>2542</v>
      </c>
      <c r="B413" s="1854" t="s">
        <v>16</v>
      </c>
      <c r="C413" s="1854" t="s">
        <v>3893</v>
      </c>
      <c r="D413" s="1854" t="s">
        <v>3894</v>
      </c>
      <c r="E413" s="1854" t="s">
        <v>3895</v>
      </c>
      <c r="F413" s="1854" t="s">
        <v>2785</v>
      </c>
      <c r="G413" s="1854" t="s">
        <v>3896</v>
      </c>
      <c r="H413" s="1854" t="s">
        <v>22</v>
      </c>
      <c r="I413" s="1854" t="s">
        <v>1068</v>
      </c>
    </row>
    <row customHeight="1" ht="11.25">
      <c r="A414" s="1854" t="s">
        <v>2542</v>
      </c>
      <c r="B414" s="1854" t="s">
        <v>16</v>
      </c>
      <c r="C414" s="1854" t="s">
        <v>3897</v>
      </c>
      <c r="D414" s="1854" t="s">
        <v>3898</v>
      </c>
      <c r="E414" s="1854" t="s">
        <v>3899</v>
      </c>
      <c r="F414" s="1854" t="s">
        <v>2785</v>
      </c>
      <c r="G414" s="1854" t="s">
        <v>22</v>
      </c>
      <c r="H414" s="1854" t="s">
        <v>22</v>
      </c>
      <c r="I414" s="1854" t="s">
        <v>1068</v>
      </c>
    </row>
    <row customHeight="1" ht="11.25">
      <c r="A415" s="1854" t="s">
        <v>2542</v>
      </c>
      <c r="B415" s="1854" t="s">
        <v>16</v>
      </c>
      <c r="C415" s="1854" t="s">
        <v>3900</v>
      </c>
      <c r="D415" s="1854" t="s">
        <v>3901</v>
      </c>
      <c r="E415" s="1854" t="s">
        <v>3902</v>
      </c>
      <c r="F415" s="1854" t="s">
        <v>2550</v>
      </c>
      <c r="G415" s="1854" t="s">
        <v>22</v>
      </c>
      <c r="H415" s="1854" t="s">
        <v>22</v>
      </c>
      <c r="I415" s="1854" t="s">
        <v>1068</v>
      </c>
    </row>
    <row customHeight="1" ht="11.25">
      <c r="A416" s="1854" t="s">
        <v>2542</v>
      </c>
      <c r="B416" s="1854" t="s">
        <v>16</v>
      </c>
      <c r="C416" s="1854" t="s">
        <v>3903</v>
      </c>
      <c r="D416" s="1854" t="s">
        <v>3904</v>
      </c>
      <c r="E416" s="1854" t="s">
        <v>3905</v>
      </c>
      <c r="F416" s="1854" t="s">
        <v>2828</v>
      </c>
      <c r="G416" s="1854" t="s">
        <v>22</v>
      </c>
      <c r="H416" s="1854" t="s">
        <v>22</v>
      </c>
      <c r="I416" s="1854" t="s">
        <v>1068</v>
      </c>
    </row>
    <row customHeight="1" ht="11.25">
      <c r="A417" s="1854" t="s">
        <v>2542</v>
      </c>
      <c r="B417" s="1854" t="s">
        <v>16</v>
      </c>
      <c r="C417" s="1854" t="s">
        <v>3906</v>
      </c>
      <c r="D417" s="1854" t="s">
        <v>3907</v>
      </c>
      <c r="E417" s="1854" t="s">
        <v>3908</v>
      </c>
      <c r="F417" s="1854" t="s">
        <v>2550</v>
      </c>
      <c r="G417" s="1854" t="s">
        <v>22</v>
      </c>
      <c r="H417" s="1854" t="s">
        <v>22</v>
      </c>
      <c r="I417" s="1854" t="s">
        <v>1068</v>
      </c>
    </row>
    <row customHeight="1" ht="11.25">
      <c r="A418" s="1854" t="s">
        <v>2542</v>
      </c>
      <c r="B418" s="1854" t="s">
        <v>16</v>
      </c>
      <c r="C418" s="1854" t="s">
        <v>3909</v>
      </c>
      <c r="D418" s="1854" t="s">
        <v>3910</v>
      </c>
      <c r="E418" s="1854" t="s">
        <v>3911</v>
      </c>
      <c r="F418" s="1854" t="s">
        <v>3843</v>
      </c>
      <c r="G418" s="1854" t="s">
        <v>22</v>
      </c>
      <c r="H418" s="1854" t="s">
        <v>22</v>
      </c>
      <c r="I418" s="1854" t="s">
        <v>1068</v>
      </c>
    </row>
    <row customHeight="1" ht="11.25">
      <c r="A419" s="1854" t="s">
        <v>2542</v>
      </c>
      <c r="B419" s="1854" t="s">
        <v>16</v>
      </c>
      <c r="C419" s="1854" t="s">
        <v>3912</v>
      </c>
      <c r="D419" s="1854" t="s">
        <v>3910</v>
      </c>
      <c r="E419" s="1854" t="s">
        <v>3911</v>
      </c>
      <c r="F419" s="1854" t="s">
        <v>2725</v>
      </c>
      <c r="G419" s="1854" t="s">
        <v>22</v>
      </c>
      <c r="H419" s="1854" t="s">
        <v>22</v>
      </c>
      <c r="I419" s="1854" t="s">
        <v>1068</v>
      </c>
    </row>
    <row customHeight="1" ht="11.25">
      <c r="A420" s="1854" t="s">
        <v>2542</v>
      </c>
      <c r="B420" s="1854" t="s">
        <v>16</v>
      </c>
      <c r="C420" s="1854" t="s">
        <v>3913</v>
      </c>
      <c r="D420" s="1854" t="s">
        <v>3914</v>
      </c>
      <c r="E420" s="1854" t="s">
        <v>3915</v>
      </c>
      <c r="F420" s="1854" t="s">
        <v>2733</v>
      </c>
      <c r="G420" s="1854" t="s">
        <v>22</v>
      </c>
      <c r="H420" s="1854" t="s">
        <v>22</v>
      </c>
      <c r="I420" s="1854" t="s">
        <v>1068</v>
      </c>
    </row>
    <row customHeight="1" ht="11.25">
      <c r="A421" s="1854" t="s">
        <v>2542</v>
      </c>
      <c r="B421" s="1854" t="s">
        <v>16</v>
      </c>
      <c r="C421" s="1854" t="s">
        <v>3916</v>
      </c>
      <c r="D421" s="1854" t="s">
        <v>3917</v>
      </c>
      <c r="E421" s="1854" t="s">
        <v>3918</v>
      </c>
      <c r="F421" s="1854" t="s">
        <v>3919</v>
      </c>
      <c r="G421" s="1854" t="s">
        <v>22</v>
      </c>
      <c r="H421" s="1854" t="s">
        <v>22</v>
      </c>
      <c r="I421" s="1854" t="s">
        <v>1068</v>
      </c>
    </row>
    <row customHeight="1" ht="11.25">
      <c r="A422" s="1854" t="s">
        <v>2542</v>
      </c>
      <c r="B422" s="1854" t="s">
        <v>16</v>
      </c>
      <c r="C422" s="1854" t="s">
        <v>3920</v>
      </c>
      <c r="D422" s="1854" t="s">
        <v>3921</v>
      </c>
      <c r="E422" s="1854" t="s">
        <v>3922</v>
      </c>
      <c r="F422" s="1854" t="s">
        <v>2606</v>
      </c>
      <c r="G422" s="1854" t="s">
        <v>22</v>
      </c>
      <c r="H422" s="1854" t="s">
        <v>22</v>
      </c>
      <c r="I422" s="1854" t="s">
        <v>1068</v>
      </c>
    </row>
    <row customHeight="1" ht="11.25">
      <c r="A423" s="1854" t="s">
        <v>2542</v>
      </c>
      <c r="B423" s="1854" t="s">
        <v>16</v>
      </c>
      <c r="C423" s="1854" t="s">
        <v>3923</v>
      </c>
      <c r="D423" s="1854" t="s">
        <v>3924</v>
      </c>
      <c r="E423" s="1854" t="s">
        <v>3925</v>
      </c>
      <c r="F423" s="1854" t="s">
        <v>2743</v>
      </c>
      <c r="G423" s="1854" t="s">
        <v>3926</v>
      </c>
      <c r="H423" s="1854" t="s">
        <v>22</v>
      </c>
      <c r="I423" s="1854" t="s">
        <v>1068</v>
      </c>
    </row>
    <row customHeight="1" ht="11.25">
      <c r="A424" s="1854" t="s">
        <v>2542</v>
      </c>
      <c r="B424" s="1854" t="s">
        <v>16</v>
      </c>
      <c r="C424" s="1854" t="s">
        <v>3927</v>
      </c>
      <c r="D424" s="1854" t="s">
        <v>3928</v>
      </c>
      <c r="E424" s="1854" t="s">
        <v>3929</v>
      </c>
      <c r="F424" s="1854" t="s">
        <v>2925</v>
      </c>
      <c r="G424" s="1854" t="s">
        <v>3930</v>
      </c>
      <c r="H424" s="1854" t="s">
        <v>22</v>
      </c>
      <c r="I424" s="1854" t="s">
        <v>1068</v>
      </c>
    </row>
    <row customHeight="1" ht="11.25">
      <c r="A425" s="1854" t="s">
        <v>2542</v>
      </c>
      <c r="B425" s="1854" t="s">
        <v>16</v>
      </c>
      <c r="C425" s="1854" t="s">
        <v>3931</v>
      </c>
      <c r="D425" s="1854" t="s">
        <v>3932</v>
      </c>
      <c r="E425" s="1854" t="s">
        <v>3933</v>
      </c>
      <c r="F425" s="1854" t="s">
        <v>2801</v>
      </c>
      <c r="G425" s="1854" t="s">
        <v>22</v>
      </c>
      <c r="H425" s="1854" t="s">
        <v>22</v>
      </c>
      <c r="I425" s="1854" t="s">
        <v>1068</v>
      </c>
    </row>
    <row customHeight="1" ht="11.25">
      <c r="A426" s="1854" t="s">
        <v>2542</v>
      </c>
      <c r="B426" s="1854" t="s">
        <v>16</v>
      </c>
      <c r="C426" s="1854" t="s">
        <v>3934</v>
      </c>
      <c r="D426" s="1854" t="s">
        <v>3935</v>
      </c>
      <c r="E426" s="1854" t="s">
        <v>3936</v>
      </c>
      <c r="F426" s="1854" t="s">
        <v>2995</v>
      </c>
      <c r="G426" s="1854" t="s">
        <v>22</v>
      </c>
      <c r="H426" s="1854" t="s">
        <v>22</v>
      </c>
      <c r="I426" s="1854" t="s">
        <v>1068</v>
      </c>
    </row>
    <row customHeight="1" ht="11.25">
      <c r="A427" s="1854" t="s">
        <v>2542</v>
      </c>
      <c r="B427" s="1854" t="s">
        <v>16</v>
      </c>
      <c r="C427" s="1854" t="s">
        <v>3937</v>
      </c>
      <c r="D427" s="1854" t="s">
        <v>3938</v>
      </c>
      <c r="E427" s="1854" t="s">
        <v>3939</v>
      </c>
      <c r="F427" s="1854" t="s">
        <v>2813</v>
      </c>
      <c r="G427" s="1854" t="s">
        <v>3926</v>
      </c>
      <c r="H427" s="1854" t="s">
        <v>22</v>
      </c>
      <c r="I427" s="1854" t="s">
        <v>1068</v>
      </c>
    </row>
    <row customHeight="1" ht="11.25">
      <c r="A428" s="1854" t="s">
        <v>2542</v>
      </c>
      <c r="B428" s="1854" t="s">
        <v>16</v>
      </c>
      <c r="C428" s="1854" t="s">
        <v>3940</v>
      </c>
      <c r="D428" s="1854" t="s">
        <v>3941</v>
      </c>
      <c r="E428" s="1854" t="s">
        <v>3942</v>
      </c>
      <c r="F428" s="1854" t="s">
        <v>2813</v>
      </c>
      <c r="G428" s="1854" t="s">
        <v>22</v>
      </c>
      <c r="H428" s="1854" t="s">
        <v>22</v>
      </c>
      <c r="I428" s="1854" t="s">
        <v>1068</v>
      </c>
    </row>
    <row customHeight="1" ht="11.25">
      <c r="A429" s="1854" t="s">
        <v>2542</v>
      </c>
      <c r="B429" s="1854" t="s">
        <v>16</v>
      </c>
      <c r="C429" s="1854" t="s">
        <v>3943</v>
      </c>
      <c r="D429" s="1854" t="s">
        <v>3944</v>
      </c>
      <c r="E429" s="1854" t="s">
        <v>3945</v>
      </c>
      <c r="F429" s="1854" t="s">
        <v>2940</v>
      </c>
      <c r="G429" s="1854" t="s">
        <v>22</v>
      </c>
      <c r="H429" s="1854" t="s">
        <v>22</v>
      </c>
      <c r="I429" s="1854" t="s">
        <v>1068</v>
      </c>
    </row>
    <row customHeight="1" ht="11.25">
      <c r="A430" s="1854" t="s">
        <v>2542</v>
      </c>
      <c r="B430" s="1854" t="s">
        <v>16</v>
      </c>
      <c r="C430" s="1854" t="s">
        <v>3946</v>
      </c>
      <c r="D430" s="1854" t="s">
        <v>3947</v>
      </c>
      <c r="E430" s="1854" t="s">
        <v>3948</v>
      </c>
      <c r="F430" s="1854" t="s">
        <v>2925</v>
      </c>
      <c r="G430" s="1854" t="s">
        <v>3949</v>
      </c>
      <c r="H430" s="1854" t="s">
        <v>22</v>
      </c>
      <c r="I430" s="1854" t="s">
        <v>1068</v>
      </c>
    </row>
    <row customHeight="1" ht="11.25">
      <c r="A431" s="1854" t="s">
        <v>2542</v>
      </c>
      <c r="B431" s="1854" t="s">
        <v>16</v>
      </c>
      <c r="C431" s="1854" t="s">
        <v>3950</v>
      </c>
      <c r="D431" s="1854" t="s">
        <v>3951</v>
      </c>
      <c r="E431" s="1854" t="s">
        <v>3952</v>
      </c>
      <c r="F431" s="1854" t="s">
        <v>2599</v>
      </c>
      <c r="G431" s="1854" t="s">
        <v>22</v>
      </c>
      <c r="H431" s="1854" t="s">
        <v>22</v>
      </c>
      <c r="I431" s="1854" t="s">
        <v>1068</v>
      </c>
    </row>
    <row customHeight="1" ht="11.25">
      <c r="A432" s="1854" t="s">
        <v>2542</v>
      </c>
      <c r="B432" s="1854" t="s">
        <v>16</v>
      </c>
      <c r="C432" s="1854" t="s">
        <v>3953</v>
      </c>
      <c r="D432" s="1854" t="s">
        <v>3954</v>
      </c>
      <c r="E432" s="1854" t="s">
        <v>3955</v>
      </c>
      <c r="F432" s="1854" t="s">
        <v>3596</v>
      </c>
      <c r="G432" s="1854" t="s">
        <v>22</v>
      </c>
      <c r="H432" s="1854" t="s">
        <v>22</v>
      </c>
      <c r="I432" s="1854" t="s">
        <v>1068</v>
      </c>
    </row>
    <row customHeight="1" ht="11.25">
      <c r="A433" s="1854" t="s">
        <v>2542</v>
      </c>
      <c r="B433" s="1854" t="s">
        <v>16</v>
      </c>
      <c r="C433" s="1854" t="s">
        <v>3956</v>
      </c>
      <c r="D433" s="1854" t="s">
        <v>3957</v>
      </c>
      <c r="E433" s="1854" t="s">
        <v>3958</v>
      </c>
      <c r="F433" s="1854" t="s">
        <v>3959</v>
      </c>
      <c r="G433" s="1854" t="s">
        <v>22</v>
      </c>
      <c r="H433" s="1854" t="s">
        <v>22</v>
      </c>
      <c r="I433" s="1854" t="s">
        <v>1068</v>
      </c>
    </row>
    <row customHeight="1" ht="11.25">
      <c r="A434" s="1854" t="s">
        <v>2542</v>
      </c>
      <c r="B434" s="1854" t="s">
        <v>16</v>
      </c>
      <c r="C434" s="1854" t="s">
        <v>3960</v>
      </c>
      <c r="D434" s="1854" t="s">
        <v>3961</v>
      </c>
      <c r="E434" s="1854" t="s">
        <v>2545</v>
      </c>
      <c r="F434" s="1854" t="s">
        <v>3962</v>
      </c>
      <c r="G434" s="1854" t="s">
        <v>22</v>
      </c>
      <c r="H434" s="1854" t="s">
        <v>22</v>
      </c>
      <c r="I434" s="1854" t="s">
        <v>1068</v>
      </c>
    </row>
    <row customHeight="1" ht="11.25">
      <c r="A435" s="1854" t="s">
        <v>2542</v>
      </c>
      <c r="B435" s="1854" t="s">
        <v>16</v>
      </c>
      <c r="C435" s="1854" t="s">
        <v>3963</v>
      </c>
      <c r="D435" s="1854" t="s">
        <v>3964</v>
      </c>
      <c r="E435" s="1854" t="s">
        <v>2545</v>
      </c>
      <c r="F435" s="1854" t="s">
        <v>3965</v>
      </c>
      <c r="G435" s="1854" t="s">
        <v>22</v>
      </c>
      <c r="H435" s="1854" t="s">
        <v>22</v>
      </c>
      <c r="I435" s="1854" t="s">
        <v>1068</v>
      </c>
    </row>
    <row customHeight="1" ht="11.25">
      <c r="A436" s="1854" t="s">
        <v>2542</v>
      </c>
      <c r="B436" s="1854" t="s">
        <v>16</v>
      </c>
      <c r="C436" s="1854" t="s">
        <v>3966</v>
      </c>
      <c r="D436" s="1854" t="s">
        <v>3967</v>
      </c>
      <c r="E436" s="1854" t="s">
        <v>3968</v>
      </c>
      <c r="F436" s="1854" t="s">
        <v>3969</v>
      </c>
      <c r="G436" s="1854" t="s">
        <v>22</v>
      </c>
      <c r="H436" s="1854" t="s">
        <v>22</v>
      </c>
      <c r="I436" s="1854" t="s">
        <v>1068</v>
      </c>
    </row>
    <row customHeight="1" ht="11.25">
      <c r="A437" s="1854" t="s">
        <v>2542</v>
      </c>
      <c r="B437" s="1854" t="s">
        <v>16</v>
      </c>
      <c r="C437" s="1854" t="s">
        <v>3970</v>
      </c>
      <c r="D437" s="1854" t="s">
        <v>3971</v>
      </c>
      <c r="E437" s="1854" t="s">
        <v>3915</v>
      </c>
      <c r="F437" s="1854" t="s">
        <v>3972</v>
      </c>
      <c r="G437" s="1854" t="s">
        <v>22</v>
      </c>
      <c r="H437" s="1854" t="s">
        <v>22</v>
      </c>
      <c r="I437" s="1854" t="s">
        <v>1068</v>
      </c>
    </row>
    <row customHeight="1" ht="11.25">
      <c r="A438" s="1854" t="s">
        <v>2542</v>
      </c>
      <c r="B438" s="1854" t="s">
        <v>16</v>
      </c>
      <c r="C438" s="1854" t="s">
        <v>3973</v>
      </c>
      <c r="D438" s="1854" t="s">
        <v>3974</v>
      </c>
      <c r="E438" s="1854" t="s">
        <v>2545</v>
      </c>
      <c r="F438" s="1854" t="s">
        <v>3975</v>
      </c>
      <c r="G438" s="1854" t="s">
        <v>22</v>
      </c>
      <c r="H438" s="1854" t="s">
        <v>22</v>
      </c>
      <c r="I438" s="1854" t="s">
        <v>1068</v>
      </c>
    </row>
    <row customHeight="1" ht="11.25">
      <c r="A439" s="1854" t="s">
        <v>2542</v>
      </c>
      <c r="B439" s="1854" t="s">
        <v>16</v>
      </c>
      <c r="C439" s="1854" t="s">
        <v>2547</v>
      </c>
      <c r="D439" s="1854" t="s">
        <v>2548</v>
      </c>
      <c r="E439" s="1854" t="s">
        <v>2549</v>
      </c>
      <c r="F439" s="1854" t="s">
        <v>2550</v>
      </c>
      <c r="G439" s="1854" t="s">
        <v>2551</v>
      </c>
      <c r="H439" s="1854" t="s">
        <v>22</v>
      </c>
      <c r="I439" s="1854" t="s">
        <v>1158</v>
      </c>
    </row>
    <row customHeight="1" ht="11.25">
      <c r="A440" s="1854" t="s">
        <v>2542</v>
      </c>
      <c r="B440" s="1854" t="s">
        <v>16</v>
      </c>
      <c r="C440" s="1854" t="s">
        <v>2560</v>
      </c>
      <c r="D440" s="1854" t="s">
        <v>2561</v>
      </c>
      <c r="E440" s="1854" t="s">
        <v>2562</v>
      </c>
      <c r="F440" s="1854" t="s">
        <v>2563</v>
      </c>
      <c r="G440" s="1854" t="s">
        <v>22</v>
      </c>
      <c r="H440" s="1854" t="s">
        <v>22</v>
      </c>
      <c r="I440" s="1854" t="s">
        <v>1158</v>
      </c>
    </row>
    <row customHeight="1" ht="11.25">
      <c r="A441" s="1854" t="s">
        <v>2542</v>
      </c>
      <c r="B441" s="1854" t="s">
        <v>16</v>
      </c>
      <c r="C441" s="1854" t="s">
        <v>2574</v>
      </c>
      <c r="D441" s="1854" t="s">
        <v>2575</v>
      </c>
      <c r="E441" s="1854" t="s">
        <v>2576</v>
      </c>
      <c r="F441" s="1854" t="s">
        <v>2577</v>
      </c>
      <c r="G441" s="1854" t="s">
        <v>22</v>
      </c>
      <c r="H441" s="1854" t="s">
        <v>22</v>
      </c>
      <c r="I441" s="1854" t="s">
        <v>1158</v>
      </c>
    </row>
    <row customHeight="1" ht="11.25">
      <c r="A442" s="1854" t="s">
        <v>2542</v>
      </c>
      <c r="B442" s="1854" t="s">
        <v>16</v>
      </c>
      <c r="C442" s="1854" t="s">
        <v>2581</v>
      </c>
      <c r="D442" s="1854" t="s">
        <v>2582</v>
      </c>
      <c r="E442" s="1854" t="s">
        <v>2583</v>
      </c>
      <c r="F442" s="1854" t="s">
        <v>2584</v>
      </c>
      <c r="G442" s="1854" t="s">
        <v>22</v>
      </c>
      <c r="H442" s="1854" t="s">
        <v>22</v>
      </c>
      <c r="I442" s="1854" t="s">
        <v>1158</v>
      </c>
    </row>
    <row customHeight="1" ht="11.25">
      <c r="A443" s="1854" t="s">
        <v>2542</v>
      </c>
      <c r="B443" s="1854" t="s">
        <v>16</v>
      </c>
      <c r="C443" s="1854" t="s">
        <v>2585</v>
      </c>
      <c r="D443" s="1854" t="s">
        <v>2586</v>
      </c>
      <c r="E443" s="1854" t="s">
        <v>2587</v>
      </c>
      <c r="F443" s="1854" t="s">
        <v>2577</v>
      </c>
      <c r="G443" s="1854" t="s">
        <v>22</v>
      </c>
      <c r="H443" s="1854" t="s">
        <v>22</v>
      </c>
      <c r="I443" s="1854" t="s">
        <v>1158</v>
      </c>
    </row>
    <row customHeight="1" ht="11.25">
      <c r="A444" s="1854" t="s">
        <v>2542</v>
      </c>
      <c r="B444" s="1854" t="s">
        <v>16</v>
      </c>
      <c r="C444" s="1854" t="s">
        <v>2588</v>
      </c>
      <c r="D444" s="1854" t="s">
        <v>2589</v>
      </c>
      <c r="E444" s="1854" t="s">
        <v>2590</v>
      </c>
      <c r="F444" s="1854" t="s">
        <v>2591</v>
      </c>
      <c r="G444" s="1854" t="s">
        <v>22</v>
      </c>
      <c r="H444" s="1854" t="s">
        <v>22</v>
      </c>
      <c r="I444" s="1854" t="s">
        <v>1158</v>
      </c>
    </row>
    <row customHeight="1" ht="11.25">
      <c r="A445" s="1854" t="s">
        <v>2542</v>
      </c>
      <c r="B445" s="1854" t="s">
        <v>16</v>
      </c>
      <c r="C445" s="1854" t="s">
        <v>2592</v>
      </c>
      <c r="D445" s="1854" t="s">
        <v>2593</v>
      </c>
      <c r="E445" s="1854" t="s">
        <v>2594</v>
      </c>
      <c r="F445" s="1854" t="s">
        <v>2595</v>
      </c>
      <c r="G445" s="1854" t="s">
        <v>22</v>
      </c>
      <c r="H445" s="1854" t="s">
        <v>22</v>
      </c>
      <c r="I445" s="1854" t="s">
        <v>1158</v>
      </c>
    </row>
    <row customHeight="1" ht="11.25">
      <c r="A446" s="1854" t="s">
        <v>2542</v>
      </c>
      <c r="B446" s="1854" t="s">
        <v>16</v>
      </c>
      <c r="C446" s="1854" t="s">
        <v>2607</v>
      </c>
      <c r="D446" s="1854" t="s">
        <v>2608</v>
      </c>
      <c r="E446" s="1854" t="s">
        <v>2609</v>
      </c>
      <c r="F446" s="1854" t="s">
        <v>2610</v>
      </c>
      <c r="G446" s="1854" t="s">
        <v>22</v>
      </c>
      <c r="H446" s="1854" t="s">
        <v>22</v>
      </c>
      <c r="I446" s="1854" t="s">
        <v>1158</v>
      </c>
    </row>
    <row customHeight="1" ht="11.25">
      <c r="A447" s="1854" t="s">
        <v>2542</v>
      </c>
      <c r="B447" s="1854" t="s">
        <v>16</v>
      </c>
      <c r="C447" s="1854" t="s">
        <v>2614</v>
      </c>
      <c r="D447" s="1854" t="s">
        <v>2615</v>
      </c>
      <c r="E447" s="1854" t="s">
        <v>2616</v>
      </c>
      <c r="F447" s="1854" t="s">
        <v>2573</v>
      </c>
      <c r="G447" s="1854" t="s">
        <v>22</v>
      </c>
      <c r="H447" s="1854" t="s">
        <v>22</v>
      </c>
      <c r="I447" s="1854" t="s">
        <v>1158</v>
      </c>
    </row>
    <row customHeight="1" ht="11.25">
      <c r="A448" s="1854" t="s">
        <v>2542</v>
      </c>
      <c r="B448" s="1854" t="s">
        <v>16</v>
      </c>
      <c r="C448" s="1854" t="s">
        <v>2628</v>
      </c>
      <c r="D448" s="1854" t="s">
        <v>2629</v>
      </c>
      <c r="E448" s="1854" t="s">
        <v>2630</v>
      </c>
      <c r="F448" s="1854" t="s">
        <v>2563</v>
      </c>
      <c r="G448" s="1854" t="s">
        <v>22</v>
      </c>
      <c r="H448" s="1854" t="s">
        <v>22</v>
      </c>
      <c r="I448" s="1854" t="s">
        <v>1158</v>
      </c>
    </row>
    <row customHeight="1" ht="11.25">
      <c r="A449" s="1854" t="s">
        <v>2542</v>
      </c>
      <c r="B449" s="1854" t="s">
        <v>16</v>
      </c>
      <c r="C449" s="1854" t="s">
        <v>2638</v>
      </c>
      <c r="D449" s="1854" t="s">
        <v>2639</v>
      </c>
      <c r="E449" s="1854" t="s">
        <v>2640</v>
      </c>
      <c r="F449" s="1854" t="s">
        <v>2641</v>
      </c>
      <c r="G449" s="1854" t="s">
        <v>2642</v>
      </c>
      <c r="H449" s="1854" t="s">
        <v>22</v>
      </c>
      <c r="I449" s="1854" t="s">
        <v>1158</v>
      </c>
    </row>
    <row customHeight="1" ht="11.25">
      <c r="A450" s="1854" t="s">
        <v>2542</v>
      </c>
      <c r="B450" s="1854" t="s">
        <v>16</v>
      </c>
      <c r="C450" s="1854" t="s">
        <v>2649</v>
      </c>
      <c r="D450" s="1854" t="s">
        <v>2650</v>
      </c>
      <c r="E450" s="1854" t="s">
        <v>2651</v>
      </c>
      <c r="F450" s="1854" t="s">
        <v>2652</v>
      </c>
      <c r="G450" s="1854" t="s">
        <v>22</v>
      </c>
      <c r="H450" s="1854" t="s">
        <v>22</v>
      </c>
      <c r="I450" s="1854" t="s">
        <v>1158</v>
      </c>
    </row>
    <row customHeight="1" ht="11.25">
      <c r="A451" s="1854" t="s">
        <v>2542</v>
      </c>
      <c r="B451" s="1854" t="s">
        <v>16</v>
      </c>
      <c r="C451" s="1854" t="s">
        <v>2656</v>
      </c>
      <c r="D451" s="1854" t="s">
        <v>2657</v>
      </c>
      <c r="E451" s="1854" t="s">
        <v>2658</v>
      </c>
      <c r="F451" s="1854" t="s">
        <v>2610</v>
      </c>
      <c r="G451" s="1854" t="s">
        <v>22</v>
      </c>
      <c r="H451" s="1854" t="s">
        <v>22</v>
      </c>
      <c r="I451" s="1854" t="s">
        <v>1158</v>
      </c>
    </row>
    <row customHeight="1" ht="11.25">
      <c r="A452" s="1854" t="s">
        <v>2542</v>
      </c>
      <c r="B452" s="1854" t="s">
        <v>16</v>
      </c>
      <c r="C452" s="1854" t="s">
        <v>2662</v>
      </c>
      <c r="D452" s="1854" t="s">
        <v>2663</v>
      </c>
      <c r="E452" s="1854" t="s">
        <v>2664</v>
      </c>
      <c r="F452" s="1854" t="s">
        <v>2665</v>
      </c>
      <c r="G452" s="1854" t="s">
        <v>22</v>
      </c>
      <c r="H452" s="1854" t="s">
        <v>22</v>
      </c>
      <c r="I452" s="1854" t="s">
        <v>1158</v>
      </c>
    </row>
    <row customHeight="1" ht="11.25">
      <c r="A453" s="1854" t="s">
        <v>2542</v>
      </c>
      <c r="B453" s="1854" t="s">
        <v>16</v>
      </c>
      <c r="C453" s="1854" t="s">
        <v>2684</v>
      </c>
      <c r="D453" s="1854" t="s">
        <v>2685</v>
      </c>
      <c r="E453" s="1854" t="s">
        <v>2683</v>
      </c>
      <c r="F453" s="1854" t="s">
        <v>2686</v>
      </c>
      <c r="G453" s="1854" t="s">
        <v>22</v>
      </c>
      <c r="H453" s="1854" t="s">
        <v>22</v>
      </c>
      <c r="I453" s="1854" t="s">
        <v>1158</v>
      </c>
    </row>
    <row customHeight="1" ht="11.25">
      <c r="A454" s="1854" t="s">
        <v>2542</v>
      </c>
      <c r="B454" s="1854" t="s">
        <v>16</v>
      </c>
      <c r="C454" s="1854" t="s">
        <v>2687</v>
      </c>
      <c r="D454" s="1854" t="s">
        <v>2688</v>
      </c>
      <c r="E454" s="1854" t="s">
        <v>2683</v>
      </c>
      <c r="F454" s="1854" t="s">
        <v>2689</v>
      </c>
      <c r="G454" s="1854" t="s">
        <v>22</v>
      </c>
      <c r="H454" s="1854" t="s">
        <v>22</v>
      </c>
      <c r="I454" s="1854" t="s">
        <v>1158</v>
      </c>
    </row>
    <row customHeight="1" ht="11.25">
      <c r="A455" s="1854" t="s">
        <v>2542</v>
      </c>
      <c r="B455" s="1854" t="s">
        <v>16</v>
      </c>
      <c r="C455" s="1854" t="s">
        <v>2693</v>
      </c>
      <c r="D455" s="1854" t="s">
        <v>2694</v>
      </c>
      <c r="E455" s="1854" t="s">
        <v>2683</v>
      </c>
      <c r="F455" s="1854" t="s">
        <v>2695</v>
      </c>
      <c r="G455" s="1854" t="s">
        <v>22</v>
      </c>
      <c r="H455" s="1854" t="s">
        <v>22</v>
      </c>
      <c r="I455" s="1854" t="s">
        <v>1158</v>
      </c>
    </row>
    <row customHeight="1" ht="11.25">
      <c r="A456" s="1854" t="s">
        <v>2542</v>
      </c>
      <c r="B456" s="1854" t="s">
        <v>16</v>
      </c>
      <c r="C456" s="1854" t="s">
        <v>2696</v>
      </c>
      <c r="D456" s="1854" t="s">
        <v>2697</v>
      </c>
      <c r="E456" s="1854" t="s">
        <v>2683</v>
      </c>
      <c r="F456" s="1854" t="s">
        <v>2698</v>
      </c>
      <c r="G456" s="1854" t="s">
        <v>22</v>
      </c>
      <c r="H456" s="1854" t="s">
        <v>22</v>
      </c>
      <c r="I456" s="1854" t="s">
        <v>1158</v>
      </c>
    </row>
    <row customHeight="1" ht="11.25">
      <c r="A457" s="1854" t="s">
        <v>2542</v>
      </c>
      <c r="B457" s="1854" t="s">
        <v>16</v>
      </c>
      <c r="C457" s="1854" t="s">
        <v>2699</v>
      </c>
      <c r="D457" s="1854" t="s">
        <v>2700</v>
      </c>
      <c r="E457" s="1854" t="s">
        <v>2683</v>
      </c>
      <c r="F457" s="1854" t="s">
        <v>2701</v>
      </c>
      <c r="G457" s="1854" t="s">
        <v>22</v>
      </c>
      <c r="H457" s="1854" t="s">
        <v>22</v>
      </c>
      <c r="I457" s="1854" t="s">
        <v>1158</v>
      </c>
    </row>
    <row customHeight="1" ht="11.25">
      <c r="A458" s="1854" t="s">
        <v>2542</v>
      </c>
      <c r="B458" s="1854" t="s">
        <v>16</v>
      </c>
      <c r="C458" s="1854" t="s">
        <v>2702</v>
      </c>
      <c r="D458" s="1854" t="s">
        <v>2703</v>
      </c>
      <c r="E458" s="1854" t="s">
        <v>2683</v>
      </c>
      <c r="F458" s="1854" t="s">
        <v>2704</v>
      </c>
      <c r="G458" s="1854" t="s">
        <v>22</v>
      </c>
      <c r="H458" s="1854" t="s">
        <v>22</v>
      </c>
      <c r="I458" s="1854" t="s">
        <v>1158</v>
      </c>
    </row>
    <row customHeight="1" ht="11.25">
      <c r="A459" s="1854" t="s">
        <v>2542</v>
      </c>
      <c r="B459" s="1854" t="s">
        <v>16</v>
      </c>
      <c r="C459" s="1854" t="s">
        <v>2718</v>
      </c>
      <c r="D459" s="1854" t="s">
        <v>2719</v>
      </c>
      <c r="E459" s="1854" t="s">
        <v>2720</v>
      </c>
      <c r="F459" s="1854" t="s">
        <v>2721</v>
      </c>
      <c r="G459" s="1854" t="s">
        <v>22</v>
      </c>
      <c r="H459" s="1854" t="s">
        <v>22</v>
      </c>
      <c r="I459" s="1854" t="s">
        <v>1158</v>
      </c>
    </row>
    <row customHeight="1" ht="11.25">
      <c r="A460" s="1854" t="s">
        <v>2542</v>
      </c>
      <c r="B460" s="1854" t="s">
        <v>16</v>
      </c>
      <c r="C460" s="1854" t="s">
        <v>2734</v>
      </c>
      <c r="D460" s="1854" t="s">
        <v>2735</v>
      </c>
      <c r="E460" s="1854" t="s">
        <v>2736</v>
      </c>
      <c r="F460" s="1854" t="s">
        <v>2558</v>
      </c>
      <c r="G460" s="1854" t="s">
        <v>22</v>
      </c>
      <c r="H460" s="1854" t="s">
        <v>22</v>
      </c>
      <c r="I460" s="1854" t="s">
        <v>1158</v>
      </c>
    </row>
    <row customHeight="1" ht="11.25">
      <c r="A461" s="1854" t="s">
        <v>2542</v>
      </c>
      <c r="B461" s="1854" t="s">
        <v>16</v>
      </c>
      <c r="C461" s="1854" t="s">
        <v>2737</v>
      </c>
      <c r="D461" s="1854" t="s">
        <v>2738</v>
      </c>
      <c r="E461" s="1854" t="s">
        <v>2739</v>
      </c>
      <c r="F461" s="1854" t="s">
        <v>2733</v>
      </c>
      <c r="G461" s="1854" t="s">
        <v>22</v>
      </c>
      <c r="H461" s="1854" t="s">
        <v>22</v>
      </c>
      <c r="I461" s="1854" t="s">
        <v>1158</v>
      </c>
    </row>
    <row customHeight="1" ht="11.25">
      <c r="A462" s="1854" t="s">
        <v>2542</v>
      </c>
      <c r="B462" s="1854" t="s">
        <v>16</v>
      </c>
      <c r="C462" s="1854" t="s">
        <v>13</v>
      </c>
      <c r="D462" s="1854" t="s">
        <v>45</v>
      </c>
      <c r="E462" s="1854" t="s">
        <v>48</v>
      </c>
      <c r="F462" s="1854" t="s">
        <v>50</v>
      </c>
      <c r="G462" s="1854" t="s">
        <v>22</v>
      </c>
      <c r="H462" s="1854" t="s">
        <v>22</v>
      </c>
      <c r="I462" s="1854" t="s">
        <v>1158</v>
      </c>
    </row>
    <row customHeight="1" ht="11.25">
      <c r="A463" s="1854" t="s">
        <v>2542</v>
      </c>
      <c r="B463" s="1854" t="s">
        <v>16</v>
      </c>
      <c r="C463" s="1854" t="s">
        <v>2753</v>
      </c>
      <c r="D463" s="1854" t="s">
        <v>2754</v>
      </c>
      <c r="E463" s="1854" t="s">
        <v>2755</v>
      </c>
      <c r="F463" s="1854" t="s">
        <v>2584</v>
      </c>
      <c r="G463" s="1854" t="s">
        <v>2756</v>
      </c>
      <c r="H463" s="1854" t="s">
        <v>22</v>
      </c>
      <c r="I463" s="1854" t="s">
        <v>1158</v>
      </c>
    </row>
    <row customHeight="1" ht="11.25">
      <c r="A464" s="1854" t="s">
        <v>2542</v>
      </c>
      <c r="B464" s="1854" t="s">
        <v>16</v>
      </c>
      <c r="C464" s="1854" t="s">
        <v>2760</v>
      </c>
      <c r="D464" s="1854" t="s">
        <v>2761</v>
      </c>
      <c r="E464" s="1854" t="s">
        <v>2762</v>
      </c>
      <c r="F464" s="1854" t="s">
        <v>2563</v>
      </c>
      <c r="G464" s="1854" t="s">
        <v>2763</v>
      </c>
      <c r="H464" s="1854" t="s">
        <v>22</v>
      </c>
      <c r="I464" s="1854" t="s">
        <v>1158</v>
      </c>
    </row>
    <row customHeight="1" ht="11.25">
      <c r="A465" s="1854" t="s">
        <v>2542</v>
      </c>
      <c r="B465" s="1854" t="s">
        <v>16</v>
      </c>
      <c r="C465" s="1854" t="s">
        <v>2775</v>
      </c>
      <c r="D465" s="1854" t="s">
        <v>2776</v>
      </c>
      <c r="E465" s="1854" t="s">
        <v>2683</v>
      </c>
      <c r="F465" s="1854" t="s">
        <v>2777</v>
      </c>
      <c r="G465" s="1854" t="s">
        <v>22</v>
      </c>
      <c r="H465" s="1854" t="s">
        <v>22</v>
      </c>
      <c r="I465" s="1854" t="s">
        <v>1158</v>
      </c>
    </row>
    <row customHeight="1" ht="11.25">
      <c r="A466" s="1854" t="s">
        <v>2542</v>
      </c>
      <c r="B466" s="1854" t="s">
        <v>16</v>
      </c>
      <c r="C466" s="1854" t="s">
        <v>2791</v>
      </c>
      <c r="D466" s="1854" t="s">
        <v>2792</v>
      </c>
      <c r="E466" s="1854" t="s">
        <v>2793</v>
      </c>
      <c r="F466" s="1854" t="s">
        <v>2794</v>
      </c>
      <c r="G466" s="1854" t="s">
        <v>22</v>
      </c>
      <c r="H466" s="1854" t="s">
        <v>22</v>
      </c>
      <c r="I466" s="1854" t="s">
        <v>1158</v>
      </c>
    </row>
    <row customHeight="1" ht="11.25">
      <c r="A467" s="1854" t="s">
        <v>2542</v>
      </c>
      <c r="B467" s="1854" t="s">
        <v>16</v>
      </c>
      <c r="C467" s="1854" t="s">
        <v>2818</v>
      </c>
      <c r="D467" s="1854" t="s">
        <v>2819</v>
      </c>
      <c r="E467" s="1854" t="s">
        <v>2820</v>
      </c>
      <c r="F467" s="1854" t="s">
        <v>2821</v>
      </c>
      <c r="G467" s="1854" t="s">
        <v>22</v>
      </c>
      <c r="H467" s="1854" t="s">
        <v>22</v>
      </c>
      <c r="I467" s="1854" t="s">
        <v>1158</v>
      </c>
    </row>
    <row customHeight="1" ht="11.25">
      <c r="A468" s="1854" t="s">
        <v>2542</v>
      </c>
      <c r="B468" s="1854" t="s">
        <v>16</v>
      </c>
      <c r="C468" s="1854" t="s">
        <v>2825</v>
      </c>
      <c r="D468" s="1854" t="s">
        <v>2826</v>
      </c>
      <c r="E468" s="1854" t="s">
        <v>2827</v>
      </c>
      <c r="F468" s="1854" t="s">
        <v>2828</v>
      </c>
      <c r="G468" s="1854" t="s">
        <v>22</v>
      </c>
      <c r="H468" s="1854" t="s">
        <v>22</v>
      </c>
      <c r="I468" s="1854" t="s">
        <v>1158</v>
      </c>
    </row>
    <row customHeight="1" ht="11.25">
      <c r="A469" s="1854" t="s">
        <v>2542</v>
      </c>
      <c r="B469" s="1854" t="s">
        <v>16</v>
      </c>
      <c r="C469" s="1854" t="s">
        <v>2829</v>
      </c>
      <c r="D469" s="1854" t="s">
        <v>2830</v>
      </c>
      <c r="E469" s="1854" t="s">
        <v>2831</v>
      </c>
      <c r="F469" s="1854" t="s">
        <v>2584</v>
      </c>
      <c r="G469" s="1854" t="s">
        <v>22</v>
      </c>
      <c r="H469" s="1854" t="s">
        <v>22</v>
      </c>
      <c r="I469" s="1854" t="s">
        <v>1158</v>
      </c>
    </row>
    <row customHeight="1" ht="11.25">
      <c r="A470" s="1854" t="s">
        <v>2542</v>
      </c>
      <c r="B470" s="1854" t="s">
        <v>16</v>
      </c>
      <c r="C470" s="1854" t="s">
        <v>2838</v>
      </c>
      <c r="D470" s="1854" t="s">
        <v>2839</v>
      </c>
      <c r="E470" s="1854" t="s">
        <v>2840</v>
      </c>
      <c r="F470" s="1854" t="s">
        <v>2610</v>
      </c>
      <c r="G470" s="1854" t="s">
        <v>22</v>
      </c>
      <c r="H470" s="1854" t="s">
        <v>22</v>
      </c>
      <c r="I470" s="1854" t="s">
        <v>1158</v>
      </c>
    </row>
    <row customHeight="1" ht="11.25">
      <c r="A471" s="1854" t="s">
        <v>2542</v>
      </c>
      <c r="B471" s="1854" t="s">
        <v>16</v>
      </c>
      <c r="C471" s="1854" t="s">
        <v>2851</v>
      </c>
      <c r="D471" s="1854" t="s">
        <v>2852</v>
      </c>
      <c r="E471" s="1854" t="s">
        <v>2853</v>
      </c>
      <c r="F471" s="1854" t="s">
        <v>2854</v>
      </c>
      <c r="G471" s="1854" t="s">
        <v>22</v>
      </c>
      <c r="H471" s="1854" t="s">
        <v>22</v>
      </c>
      <c r="I471" s="1854" t="s">
        <v>1158</v>
      </c>
    </row>
    <row customHeight="1" ht="11.25">
      <c r="A472" s="1854" t="s">
        <v>2542</v>
      </c>
      <c r="B472" s="1854" t="s">
        <v>16</v>
      </c>
      <c r="C472" s="1854" t="s">
        <v>2944</v>
      </c>
      <c r="D472" s="1854" t="s">
        <v>2945</v>
      </c>
      <c r="E472" s="1854" t="s">
        <v>2946</v>
      </c>
      <c r="F472" s="1854" t="s">
        <v>2669</v>
      </c>
      <c r="G472" s="1854" t="s">
        <v>22</v>
      </c>
      <c r="H472" s="1854" t="s">
        <v>22</v>
      </c>
      <c r="I472" s="1854" t="s">
        <v>1158</v>
      </c>
    </row>
    <row customHeight="1" ht="11.25">
      <c r="A473" s="1854" t="s">
        <v>2542</v>
      </c>
      <c r="B473" s="1854" t="s">
        <v>16</v>
      </c>
      <c r="C473" s="1854" t="s">
        <v>2950</v>
      </c>
      <c r="D473" s="1854" t="s">
        <v>2951</v>
      </c>
      <c r="E473" s="1854" t="s">
        <v>2952</v>
      </c>
      <c r="F473" s="1854" t="s">
        <v>2953</v>
      </c>
      <c r="G473" s="1854" t="s">
        <v>22</v>
      </c>
      <c r="H473" s="1854" t="s">
        <v>22</v>
      </c>
      <c r="I473" s="1854" t="s">
        <v>1158</v>
      </c>
    </row>
    <row customHeight="1" ht="11.25">
      <c r="A474" s="1854" t="s">
        <v>2542</v>
      </c>
      <c r="B474" s="1854" t="s">
        <v>16</v>
      </c>
      <c r="C474" s="1854" t="s">
        <v>2954</v>
      </c>
      <c r="D474" s="1854" t="s">
        <v>2955</v>
      </c>
      <c r="E474" s="1854" t="s">
        <v>2956</v>
      </c>
      <c r="F474" s="1854" t="s">
        <v>2573</v>
      </c>
      <c r="G474" s="1854" t="s">
        <v>22</v>
      </c>
      <c r="H474" s="1854" t="s">
        <v>22</v>
      </c>
      <c r="I474" s="1854" t="s">
        <v>1158</v>
      </c>
    </row>
    <row customHeight="1" ht="11.25">
      <c r="A475" s="1854" t="s">
        <v>2542</v>
      </c>
      <c r="B475" s="1854" t="s">
        <v>16</v>
      </c>
      <c r="C475" s="1854" t="s">
        <v>2960</v>
      </c>
      <c r="D475" s="1854" t="s">
        <v>2961</v>
      </c>
      <c r="E475" s="1854" t="s">
        <v>2962</v>
      </c>
      <c r="F475" s="1854" t="s">
        <v>2953</v>
      </c>
      <c r="G475" s="1854" t="s">
        <v>22</v>
      </c>
      <c r="H475" s="1854" t="s">
        <v>22</v>
      </c>
      <c r="I475" s="1854" t="s">
        <v>1158</v>
      </c>
    </row>
    <row customHeight="1" ht="11.25">
      <c r="A476" s="1854" t="s">
        <v>2542</v>
      </c>
      <c r="B476" s="1854" t="s">
        <v>16</v>
      </c>
      <c r="C476" s="1854" t="s">
        <v>2963</v>
      </c>
      <c r="D476" s="1854" t="s">
        <v>2964</v>
      </c>
      <c r="E476" s="1854" t="s">
        <v>2965</v>
      </c>
      <c r="F476" s="1854" t="s">
        <v>2966</v>
      </c>
      <c r="G476" s="1854" t="s">
        <v>22</v>
      </c>
      <c r="H476" s="1854" t="s">
        <v>22</v>
      </c>
      <c r="I476" s="1854" t="s">
        <v>1158</v>
      </c>
    </row>
    <row customHeight="1" ht="11.25">
      <c r="A477" s="1854" t="s">
        <v>2542</v>
      </c>
      <c r="B477" s="1854" t="s">
        <v>16</v>
      </c>
      <c r="C477" s="1854" t="s">
        <v>2970</v>
      </c>
      <c r="D477" s="1854" t="s">
        <v>2971</v>
      </c>
      <c r="E477" s="1854" t="s">
        <v>2972</v>
      </c>
      <c r="F477" s="1854" t="s">
        <v>2973</v>
      </c>
      <c r="G477" s="1854" t="s">
        <v>2974</v>
      </c>
      <c r="H477" s="1854" t="s">
        <v>22</v>
      </c>
      <c r="I477" s="1854" t="s">
        <v>1158</v>
      </c>
    </row>
    <row customHeight="1" ht="11.25">
      <c r="A478" s="1854" t="s">
        <v>2542</v>
      </c>
      <c r="B478" s="1854" t="s">
        <v>16</v>
      </c>
      <c r="C478" s="1854" t="s">
        <v>2975</v>
      </c>
      <c r="D478" s="1854" t="s">
        <v>2976</v>
      </c>
      <c r="E478" s="1854" t="s">
        <v>2977</v>
      </c>
      <c r="F478" s="1854" t="s">
        <v>2546</v>
      </c>
      <c r="G478" s="1854" t="s">
        <v>22</v>
      </c>
      <c r="H478" s="1854" t="s">
        <v>22</v>
      </c>
      <c r="I478" s="1854" t="s">
        <v>1158</v>
      </c>
    </row>
    <row customHeight="1" ht="11.25">
      <c r="A479" s="1854" t="s">
        <v>2542</v>
      </c>
      <c r="B479" s="1854" t="s">
        <v>16</v>
      </c>
      <c r="C479" s="1854" t="s">
        <v>2985</v>
      </c>
      <c r="D479" s="1854" t="s">
        <v>2986</v>
      </c>
      <c r="E479" s="1854" t="s">
        <v>2987</v>
      </c>
      <c r="F479" s="1854" t="s">
        <v>2591</v>
      </c>
      <c r="G479" s="1854" t="s">
        <v>22</v>
      </c>
      <c r="H479" s="1854" t="s">
        <v>22</v>
      </c>
      <c r="I479" s="1854" t="s">
        <v>1158</v>
      </c>
    </row>
    <row customHeight="1" ht="11.25">
      <c r="A480" s="1854" t="s">
        <v>2542</v>
      </c>
      <c r="B480" s="1854" t="s">
        <v>16</v>
      </c>
      <c r="C480" s="1854" t="s">
        <v>3009</v>
      </c>
      <c r="D480" s="1854" t="s">
        <v>3010</v>
      </c>
      <c r="E480" s="1854" t="s">
        <v>3011</v>
      </c>
      <c r="F480" s="1854" t="s">
        <v>2606</v>
      </c>
      <c r="G480" s="1854" t="s">
        <v>22</v>
      </c>
      <c r="H480" s="1854" t="s">
        <v>22</v>
      </c>
      <c r="I480" s="1854" t="s">
        <v>1158</v>
      </c>
    </row>
    <row customHeight="1" ht="11.25">
      <c r="A481" s="1854" t="s">
        <v>2542</v>
      </c>
      <c r="B481" s="1854" t="s">
        <v>16</v>
      </c>
      <c r="C481" s="1854" t="s">
        <v>3015</v>
      </c>
      <c r="D481" s="1854" t="s">
        <v>3016</v>
      </c>
      <c r="E481" s="1854" t="s">
        <v>3017</v>
      </c>
      <c r="F481" s="1854" t="s">
        <v>2821</v>
      </c>
      <c r="G481" s="1854" t="s">
        <v>22</v>
      </c>
      <c r="H481" s="1854" t="s">
        <v>22</v>
      </c>
      <c r="I481" s="1854" t="s">
        <v>1158</v>
      </c>
    </row>
    <row customHeight="1" ht="11.25">
      <c r="A482" s="1854" t="s">
        <v>2542</v>
      </c>
      <c r="B482" s="1854" t="s">
        <v>16</v>
      </c>
      <c r="C482" s="1854" t="s">
        <v>3021</v>
      </c>
      <c r="D482" s="1854" t="s">
        <v>3022</v>
      </c>
      <c r="E482" s="1854" t="s">
        <v>3023</v>
      </c>
      <c r="F482" s="1854" t="s">
        <v>2973</v>
      </c>
      <c r="G482" s="1854" t="s">
        <v>22</v>
      </c>
      <c r="H482" s="1854" t="s">
        <v>22</v>
      </c>
      <c r="I482" s="1854" t="s">
        <v>1158</v>
      </c>
    </row>
    <row customHeight="1" ht="11.25">
      <c r="A483" s="1854" t="s">
        <v>2542</v>
      </c>
      <c r="B483" s="1854" t="s">
        <v>16</v>
      </c>
      <c r="C483" s="1854" t="s">
        <v>3036</v>
      </c>
      <c r="D483" s="1854" t="s">
        <v>3037</v>
      </c>
      <c r="E483" s="1854" t="s">
        <v>3038</v>
      </c>
      <c r="F483" s="1854" t="s">
        <v>2641</v>
      </c>
      <c r="G483" s="1854" t="s">
        <v>22</v>
      </c>
      <c r="H483" s="1854" t="s">
        <v>22</v>
      </c>
      <c r="I483" s="1854" t="s">
        <v>1158</v>
      </c>
    </row>
    <row customHeight="1" ht="11.25">
      <c r="A484" s="1854" t="s">
        <v>2542</v>
      </c>
      <c r="B484" s="1854" t="s">
        <v>16</v>
      </c>
      <c r="C484" s="1854" t="s">
        <v>3042</v>
      </c>
      <c r="D484" s="1854" t="s">
        <v>3043</v>
      </c>
      <c r="E484" s="1854" t="s">
        <v>3044</v>
      </c>
      <c r="F484" s="1854" t="s">
        <v>3045</v>
      </c>
      <c r="G484" s="1854" t="s">
        <v>22</v>
      </c>
      <c r="H484" s="1854" t="s">
        <v>22</v>
      </c>
      <c r="I484" s="1854" t="s">
        <v>1158</v>
      </c>
    </row>
    <row customHeight="1" ht="11.25">
      <c r="A485" s="1854" t="s">
        <v>2542</v>
      </c>
      <c r="B485" s="1854" t="s">
        <v>16</v>
      </c>
      <c r="C485" s="1854" t="s">
        <v>3049</v>
      </c>
      <c r="D485" s="1854" t="s">
        <v>3050</v>
      </c>
      <c r="E485" s="1854" t="s">
        <v>3051</v>
      </c>
      <c r="F485" s="1854" t="s">
        <v>3052</v>
      </c>
      <c r="G485" s="1854" t="s">
        <v>22</v>
      </c>
      <c r="H485" s="1854" t="s">
        <v>22</v>
      </c>
      <c r="I485" s="1854" t="s">
        <v>1158</v>
      </c>
    </row>
    <row customHeight="1" ht="11.25">
      <c r="A486" s="1854" t="s">
        <v>2542</v>
      </c>
      <c r="B486" s="1854" t="s">
        <v>16</v>
      </c>
      <c r="C486" s="1854" t="s">
        <v>3053</v>
      </c>
      <c r="D486" s="1854" t="s">
        <v>3054</v>
      </c>
      <c r="E486" s="1854" t="s">
        <v>3055</v>
      </c>
      <c r="F486" s="1854" t="s">
        <v>2794</v>
      </c>
      <c r="G486" s="1854" t="s">
        <v>22</v>
      </c>
      <c r="H486" s="1854" t="s">
        <v>22</v>
      </c>
      <c r="I486" s="1854" t="s">
        <v>1158</v>
      </c>
    </row>
    <row customHeight="1" ht="11.25">
      <c r="A487" s="1854" t="s">
        <v>2542</v>
      </c>
      <c r="B487" s="1854" t="s">
        <v>16</v>
      </c>
      <c r="C487" s="1854" t="s">
        <v>3066</v>
      </c>
      <c r="D487" s="1854" t="s">
        <v>3067</v>
      </c>
      <c r="E487" s="1854" t="s">
        <v>3068</v>
      </c>
      <c r="F487" s="1854" t="s">
        <v>2821</v>
      </c>
      <c r="G487" s="1854" t="s">
        <v>22</v>
      </c>
      <c r="H487" s="1854" t="s">
        <v>22</v>
      </c>
      <c r="I487" s="1854" t="s">
        <v>1158</v>
      </c>
    </row>
    <row customHeight="1" ht="11.25">
      <c r="A488" s="1854" t="s">
        <v>2542</v>
      </c>
      <c r="B488" s="1854" t="s">
        <v>16</v>
      </c>
      <c r="C488" s="1854" t="s">
        <v>3069</v>
      </c>
      <c r="D488" s="1854" t="s">
        <v>3070</v>
      </c>
      <c r="E488" s="1854" t="s">
        <v>3071</v>
      </c>
      <c r="F488" s="1854" t="s">
        <v>2563</v>
      </c>
      <c r="G488" s="1854" t="s">
        <v>22</v>
      </c>
      <c r="H488" s="1854" t="s">
        <v>22</v>
      </c>
      <c r="I488" s="1854" t="s">
        <v>1158</v>
      </c>
    </row>
    <row customHeight="1" ht="11.25">
      <c r="A489" s="1854" t="s">
        <v>2542</v>
      </c>
      <c r="B489" s="1854" t="s">
        <v>16</v>
      </c>
      <c r="C489" s="1854" t="s">
        <v>3075</v>
      </c>
      <c r="D489" s="1854" t="s">
        <v>3076</v>
      </c>
      <c r="E489" s="1854" t="s">
        <v>3077</v>
      </c>
      <c r="F489" s="1854" t="s">
        <v>2641</v>
      </c>
      <c r="G489" s="1854" t="s">
        <v>22</v>
      </c>
      <c r="H489" s="1854" t="s">
        <v>22</v>
      </c>
      <c r="I489" s="1854" t="s">
        <v>1158</v>
      </c>
    </row>
    <row customHeight="1" ht="11.25">
      <c r="A490" s="1854" t="s">
        <v>2542</v>
      </c>
      <c r="B490" s="1854" t="s">
        <v>16</v>
      </c>
      <c r="C490" s="1854" t="s">
        <v>3096</v>
      </c>
      <c r="D490" s="1854" t="s">
        <v>3097</v>
      </c>
      <c r="E490" s="1854" t="s">
        <v>3098</v>
      </c>
      <c r="F490" s="1854" t="s">
        <v>2973</v>
      </c>
      <c r="G490" s="1854" t="s">
        <v>22</v>
      </c>
      <c r="H490" s="1854" t="s">
        <v>22</v>
      </c>
      <c r="I490" s="1854" t="s">
        <v>1158</v>
      </c>
    </row>
    <row customHeight="1" ht="11.25">
      <c r="A491" s="1854" t="s">
        <v>2542</v>
      </c>
      <c r="B491" s="1854" t="s">
        <v>16</v>
      </c>
      <c r="C491" s="1854" t="s">
        <v>3099</v>
      </c>
      <c r="D491" s="1854" t="s">
        <v>3100</v>
      </c>
      <c r="E491" s="1854" t="s">
        <v>3101</v>
      </c>
      <c r="F491" s="1854" t="s">
        <v>3102</v>
      </c>
      <c r="G491" s="1854" t="s">
        <v>22</v>
      </c>
      <c r="H491" s="1854" t="s">
        <v>22</v>
      </c>
      <c r="I491" s="1854" t="s">
        <v>1158</v>
      </c>
    </row>
    <row customHeight="1" ht="11.25">
      <c r="A492" s="1854" t="s">
        <v>2542</v>
      </c>
      <c r="B492" s="1854" t="s">
        <v>16</v>
      </c>
      <c r="C492" s="1854" t="s">
        <v>3103</v>
      </c>
      <c r="D492" s="1854" t="s">
        <v>3104</v>
      </c>
      <c r="E492" s="1854" t="s">
        <v>3105</v>
      </c>
      <c r="F492" s="1854" t="s">
        <v>2599</v>
      </c>
      <c r="G492" s="1854" t="s">
        <v>22</v>
      </c>
      <c r="H492" s="1854" t="s">
        <v>22</v>
      </c>
      <c r="I492" s="1854" t="s">
        <v>1158</v>
      </c>
    </row>
    <row customHeight="1" ht="11.25">
      <c r="A493" s="1854" t="s">
        <v>2542</v>
      </c>
      <c r="B493" s="1854" t="s">
        <v>16</v>
      </c>
      <c r="C493" s="1854" t="s">
        <v>3110</v>
      </c>
      <c r="D493" s="1854" t="s">
        <v>3111</v>
      </c>
      <c r="E493" s="1854" t="s">
        <v>3112</v>
      </c>
      <c r="F493" s="1854" t="s">
        <v>2973</v>
      </c>
      <c r="G493" s="1854" t="s">
        <v>22</v>
      </c>
      <c r="H493" s="1854" t="s">
        <v>22</v>
      </c>
      <c r="I493" s="1854" t="s">
        <v>1158</v>
      </c>
    </row>
    <row customHeight="1" ht="11.25">
      <c r="A494" s="1854" t="s">
        <v>2542</v>
      </c>
      <c r="B494" s="1854" t="s">
        <v>16</v>
      </c>
      <c r="C494" s="1854" t="s">
        <v>3113</v>
      </c>
      <c r="D494" s="1854" t="s">
        <v>3114</v>
      </c>
      <c r="E494" s="1854" t="s">
        <v>3115</v>
      </c>
      <c r="F494" s="1854" t="s">
        <v>2828</v>
      </c>
      <c r="G494" s="1854" t="s">
        <v>22</v>
      </c>
      <c r="H494" s="1854" t="s">
        <v>22</v>
      </c>
      <c r="I494" s="1854" t="s">
        <v>1158</v>
      </c>
    </row>
    <row customHeight="1" ht="11.25">
      <c r="A495" s="1854" t="s">
        <v>2542</v>
      </c>
      <c r="B495" s="1854" t="s">
        <v>16</v>
      </c>
      <c r="C495" s="1854" t="s">
        <v>3116</v>
      </c>
      <c r="D495" s="1854" t="s">
        <v>3117</v>
      </c>
      <c r="E495" s="1854" t="s">
        <v>3118</v>
      </c>
      <c r="F495" s="1854" t="s">
        <v>2991</v>
      </c>
      <c r="G495" s="1854" t="s">
        <v>22</v>
      </c>
      <c r="H495" s="1854" t="s">
        <v>22</v>
      </c>
      <c r="I495" s="1854" t="s">
        <v>1158</v>
      </c>
    </row>
    <row customHeight="1" ht="11.25">
      <c r="A496" s="1854" t="s">
        <v>2542</v>
      </c>
      <c r="B496" s="1854" t="s">
        <v>16</v>
      </c>
      <c r="C496" s="1854" t="s">
        <v>3126</v>
      </c>
      <c r="D496" s="1854" t="s">
        <v>3127</v>
      </c>
      <c r="E496" s="1854" t="s">
        <v>3128</v>
      </c>
      <c r="F496" s="1854" t="s">
        <v>3129</v>
      </c>
      <c r="G496" s="1854" t="s">
        <v>22</v>
      </c>
      <c r="H496" s="1854" t="s">
        <v>22</v>
      </c>
      <c r="I496" s="1854" t="s">
        <v>1158</v>
      </c>
    </row>
    <row customHeight="1" ht="11.25">
      <c r="A497" s="1854" t="s">
        <v>2542</v>
      </c>
      <c r="B497" s="1854" t="s">
        <v>16</v>
      </c>
      <c r="C497" s="1854" t="s">
        <v>3130</v>
      </c>
      <c r="D497" s="1854" t="s">
        <v>3131</v>
      </c>
      <c r="E497" s="1854" t="s">
        <v>3132</v>
      </c>
      <c r="F497" s="1854" t="s">
        <v>2610</v>
      </c>
      <c r="G497" s="1854" t="s">
        <v>22</v>
      </c>
      <c r="H497" s="1854" t="s">
        <v>22</v>
      </c>
      <c r="I497" s="1854" t="s">
        <v>1158</v>
      </c>
    </row>
    <row customHeight="1" ht="11.25">
      <c r="A498" s="1854" t="s">
        <v>2542</v>
      </c>
      <c r="B498" s="1854" t="s">
        <v>16</v>
      </c>
      <c r="C498" s="1854" t="s">
        <v>3133</v>
      </c>
      <c r="D498" s="1854" t="s">
        <v>3134</v>
      </c>
      <c r="E498" s="1854" t="s">
        <v>3135</v>
      </c>
      <c r="F498" s="1854" t="s">
        <v>2805</v>
      </c>
      <c r="G498" s="1854" t="s">
        <v>22</v>
      </c>
      <c r="H498" s="1854" t="s">
        <v>22</v>
      </c>
      <c r="I498" s="1854" t="s">
        <v>1158</v>
      </c>
    </row>
    <row customHeight="1" ht="11.25">
      <c r="A499" s="1854" t="s">
        <v>2542</v>
      </c>
      <c r="B499" s="1854" t="s">
        <v>16</v>
      </c>
      <c r="C499" s="1854" t="s">
        <v>3136</v>
      </c>
      <c r="D499" s="1854" t="s">
        <v>3137</v>
      </c>
      <c r="E499" s="1854" t="s">
        <v>3138</v>
      </c>
      <c r="F499" s="1854" t="s">
        <v>2925</v>
      </c>
      <c r="G499" s="1854" t="s">
        <v>3139</v>
      </c>
      <c r="H499" s="1854" t="s">
        <v>22</v>
      </c>
      <c r="I499" s="1854" t="s">
        <v>1158</v>
      </c>
    </row>
    <row customHeight="1" ht="11.25">
      <c r="A500" s="1854" t="s">
        <v>2542</v>
      </c>
      <c r="B500" s="1854" t="s">
        <v>16</v>
      </c>
      <c r="C500" s="1854" t="s">
        <v>3140</v>
      </c>
      <c r="D500" s="1854" t="s">
        <v>3141</v>
      </c>
      <c r="E500" s="1854" t="s">
        <v>3142</v>
      </c>
      <c r="F500" s="1854" t="s">
        <v>2984</v>
      </c>
      <c r="G500" s="1854" t="s">
        <v>22</v>
      </c>
      <c r="H500" s="1854" t="s">
        <v>22</v>
      </c>
      <c r="I500" s="1854" t="s">
        <v>1158</v>
      </c>
    </row>
    <row customHeight="1" ht="11.25">
      <c r="A501" s="1854" t="s">
        <v>2542</v>
      </c>
      <c r="B501" s="1854" t="s">
        <v>16</v>
      </c>
      <c r="C501" s="1854" t="s">
        <v>3157</v>
      </c>
      <c r="D501" s="1854" t="s">
        <v>3158</v>
      </c>
      <c r="E501" s="1854" t="s">
        <v>3159</v>
      </c>
      <c r="F501" s="1854" t="s">
        <v>2821</v>
      </c>
      <c r="G501" s="1854" t="s">
        <v>3160</v>
      </c>
      <c r="H501" s="1854" t="s">
        <v>22</v>
      </c>
      <c r="I501" s="1854" t="s">
        <v>1158</v>
      </c>
    </row>
    <row customHeight="1" ht="11.25">
      <c r="A502" s="1854" t="s">
        <v>2542</v>
      </c>
      <c r="B502" s="1854" t="s">
        <v>16</v>
      </c>
      <c r="C502" s="1854" t="s">
        <v>3161</v>
      </c>
      <c r="D502" s="1854" t="s">
        <v>3162</v>
      </c>
      <c r="E502" s="1854" t="s">
        <v>3163</v>
      </c>
      <c r="F502" s="1854" t="s">
        <v>2821</v>
      </c>
      <c r="G502" s="1854" t="s">
        <v>22</v>
      </c>
      <c r="H502" s="1854" t="s">
        <v>22</v>
      </c>
      <c r="I502" s="1854" t="s">
        <v>1158</v>
      </c>
    </row>
    <row customHeight="1" ht="11.25">
      <c r="A503" s="1854" t="s">
        <v>2542</v>
      </c>
      <c r="B503" s="1854" t="s">
        <v>16</v>
      </c>
      <c r="C503" s="1854" t="s">
        <v>3200</v>
      </c>
      <c r="D503" s="1854" t="s">
        <v>3201</v>
      </c>
      <c r="E503" s="1854" t="s">
        <v>2780</v>
      </c>
      <c r="F503" s="1854" t="s">
        <v>2844</v>
      </c>
      <c r="G503" s="1854" t="s">
        <v>22</v>
      </c>
      <c r="H503" s="1854" t="s">
        <v>22</v>
      </c>
      <c r="I503" s="1854" t="s">
        <v>1158</v>
      </c>
    </row>
    <row customHeight="1" ht="11.25">
      <c r="A504" s="1854" t="s">
        <v>2542</v>
      </c>
      <c r="B504" s="1854" t="s">
        <v>16</v>
      </c>
      <c r="C504" s="1854" t="s">
        <v>3246</v>
      </c>
      <c r="D504" s="1854" t="s">
        <v>3247</v>
      </c>
      <c r="E504" s="1854" t="s">
        <v>3248</v>
      </c>
      <c r="F504" s="1854" t="s">
        <v>2665</v>
      </c>
      <c r="G504" s="1854" t="s">
        <v>22</v>
      </c>
      <c r="H504" s="1854" t="s">
        <v>22</v>
      </c>
      <c r="I504" s="1854" t="s">
        <v>1158</v>
      </c>
    </row>
    <row customHeight="1" ht="11.25">
      <c r="A505" s="1854" t="s">
        <v>2542</v>
      </c>
      <c r="B505" s="1854" t="s">
        <v>16</v>
      </c>
      <c r="C505" s="1854" t="s">
        <v>3278</v>
      </c>
      <c r="D505" s="1854" t="s">
        <v>3279</v>
      </c>
      <c r="E505" s="1854" t="s">
        <v>3280</v>
      </c>
      <c r="F505" s="1854" t="s">
        <v>2953</v>
      </c>
      <c r="G505" s="1854" t="s">
        <v>22</v>
      </c>
      <c r="H505" s="1854" t="s">
        <v>22</v>
      </c>
      <c r="I505" s="1854" t="s">
        <v>1158</v>
      </c>
    </row>
    <row customHeight="1" ht="11.25">
      <c r="A506" s="1854" t="s">
        <v>2542</v>
      </c>
      <c r="B506" s="1854" t="s">
        <v>16</v>
      </c>
      <c r="C506" s="1854" t="s">
        <v>3281</v>
      </c>
      <c r="D506" s="1854" t="s">
        <v>3282</v>
      </c>
      <c r="E506" s="1854" t="s">
        <v>2853</v>
      </c>
      <c r="F506" s="1854" t="s">
        <v>3283</v>
      </c>
      <c r="G506" s="1854" t="s">
        <v>22</v>
      </c>
      <c r="H506" s="1854" t="s">
        <v>22</v>
      </c>
      <c r="I506" s="1854" t="s">
        <v>1158</v>
      </c>
    </row>
    <row customHeight="1" ht="11.25">
      <c r="A507" s="1854" t="s">
        <v>2542</v>
      </c>
      <c r="B507" s="1854" t="s">
        <v>16</v>
      </c>
      <c r="C507" s="1854" t="s">
        <v>3287</v>
      </c>
      <c r="D507" s="1854" t="s">
        <v>3288</v>
      </c>
      <c r="E507" s="1854" t="s">
        <v>3289</v>
      </c>
      <c r="F507" s="1854" t="s">
        <v>2563</v>
      </c>
      <c r="G507" s="1854" t="s">
        <v>22</v>
      </c>
      <c r="H507" s="1854" t="s">
        <v>22</v>
      </c>
      <c r="I507" s="1854" t="s">
        <v>1158</v>
      </c>
    </row>
    <row customHeight="1" ht="11.25">
      <c r="A508" s="1854" t="s">
        <v>2542</v>
      </c>
      <c r="B508" s="1854" t="s">
        <v>16</v>
      </c>
      <c r="C508" s="1854" t="s">
        <v>3293</v>
      </c>
      <c r="D508" s="1854" t="s">
        <v>3294</v>
      </c>
      <c r="E508" s="1854" t="s">
        <v>3295</v>
      </c>
      <c r="F508" s="1854" t="s">
        <v>2550</v>
      </c>
      <c r="G508" s="1854" t="s">
        <v>22</v>
      </c>
      <c r="H508" s="1854" t="s">
        <v>22</v>
      </c>
      <c r="I508" s="1854" t="s">
        <v>1158</v>
      </c>
    </row>
    <row customHeight="1" ht="11.25">
      <c r="A509" s="1854" t="s">
        <v>2542</v>
      </c>
      <c r="B509" s="1854" t="s">
        <v>16</v>
      </c>
      <c r="C509" s="1854" t="s">
        <v>3296</v>
      </c>
      <c r="D509" s="1854" t="s">
        <v>3297</v>
      </c>
      <c r="E509" s="1854" t="s">
        <v>3298</v>
      </c>
      <c r="F509" s="1854" t="s">
        <v>2805</v>
      </c>
      <c r="G509" s="1854" t="s">
        <v>22</v>
      </c>
      <c r="H509" s="1854" t="s">
        <v>22</v>
      </c>
      <c r="I509" s="1854" t="s">
        <v>1158</v>
      </c>
    </row>
    <row customHeight="1" ht="11.25">
      <c r="A510" s="1854" t="s">
        <v>2542</v>
      </c>
      <c r="B510" s="1854" t="s">
        <v>16</v>
      </c>
      <c r="C510" s="1854" t="s">
        <v>3312</v>
      </c>
      <c r="D510" s="1854" t="s">
        <v>3313</v>
      </c>
      <c r="E510" s="1854" t="s">
        <v>3314</v>
      </c>
      <c r="F510" s="1854" t="s">
        <v>2584</v>
      </c>
      <c r="G510" s="1854" t="s">
        <v>22</v>
      </c>
      <c r="H510" s="1854" t="s">
        <v>22</v>
      </c>
      <c r="I510" s="1854" t="s">
        <v>1158</v>
      </c>
    </row>
    <row customHeight="1" ht="11.25">
      <c r="A511" s="1854" t="s">
        <v>2542</v>
      </c>
      <c r="B511" s="1854" t="s">
        <v>16</v>
      </c>
      <c r="C511" s="1854" t="s">
        <v>3321</v>
      </c>
      <c r="D511" s="1854" t="s">
        <v>3322</v>
      </c>
      <c r="E511" s="1854" t="s">
        <v>3323</v>
      </c>
      <c r="F511" s="1854" t="s">
        <v>2550</v>
      </c>
      <c r="G511" s="1854" t="s">
        <v>22</v>
      </c>
      <c r="H511" s="1854" t="s">
        <v>22</v>
      </c>
      <c r="I511" s="1854" t="s">
        <v>1158</v>
      </c>
    </row>
    <row customHeight="1" ht="11.25">
      <c r="A512" s="1854" t="s">
        <v>2542</v>
      </c>
      <c r="B512" s="1854" t="s">
        <v>16</v>
      </c>
      <c r="C512" s="1854" t="s">
        <v>3326</v>
      </c>
      <c r="D512" s="1854" t="s">
        <v>3327</v>
      </c>
      <c r="E512" s="1854" t="s">
        <v>3328</v>
      </c>
      <c r="F512" s="1854" t="s">
        <v>2665</v>
      </c>
      <c r="G512" s="1854" t="s">
        <v>22</v>
      </c>
      <c r="H512" s="1854" t="s">
        <v>22</v>
      </c>
      <c r="I512" s="1854" t="s">
        <v>1158</v>
      </c>
    </row>
    <row customHeight="1" ht="11.25">
      <c r="A513" s="1854" t="s">
        <v>2542</v>
      </c>
      <c r="B513" s="1854" t="s">
        <v>16</v>
      </c>
      <c r="C513" s="1854" t="s">
        <v>3332</v>
      </c>
      <c r="D513" s="1854" t="s">
        <v>3333</v>
      </c>
      <c r="E513" s="1854" t="s">
        <v>3334</v>
      </c>
      <c r="F513" s="1854" t="s">
        <v>2573</v>
      </c>
      <c r="G513" s="1854" t="s">
        <v>22</v>
      </c>
      <c r="H513" s="1854" t="s">
        <v>22</v>
      </c>
      <c r="I513" s="1854" t="s">
        <v>1158</v>
      </c>
    </row>
    <row customHeight="1" ht="11.25">
      <c r="A514" s="1854" t="s">
        <v>2542</v>
      </c>
      <c r="B514" s="1854" t="s">
        <v>16</v>
      </c>
      <c r="C514" s="1854" t="s">
        <v>3335</v>
      </c>
      <c r="D514" s="1854" t="s">
        <v>3336</v>
      </c>
      <c r="E514" s="1854" t="s">
        <v>3337</v>
      </c>
      <c r="F514" s="1854" t="s">
        <v>2573</v>
      </c>
      <c r="G514" s="1854" t="s">
        <v>22</v>
      </c>
      <c r="H514" s="1854" t="s">
        <v>22</v>
      </c>
      <c r="I514" s="1854" t="s">
        <v>1158</v>
      </c>
    </row>
    <row customHeight="1" ht="11.25">
      <c r="A515" s="1854" t="s">
        <v>2542</v>
      </c>
      <c r="B515" s="1854" t="s">
        <v>16</v>
      </c>
      <c r="C515" s="1854" t="s">
        <v>3347</v>
      </c>
      <c r="D515" s="1854" t="s">
        <v>3348</v>
      </c>
      <c r="E515" s="1854" t="s">
        <v>3349</v>
      </c>
      <c r="F515" s="1854" t="s">
        <v>2573</v>
      </c>
      <c r="G515" s="1854" t="s">
        <v>22</v>
      </c>
      <c r="H515" s="1854" t="s">
        <v>22</v>
      </c>
      <c r="I515" s="1854" t="s">
        <v>1158</v>
      </c>
    </row>
    <row customHeight="1" ht="11.25">
      <c r="A516" s="1854" t="s">
        <v>2542</v>
      </c>
      <c r="B516" s="1854" t="s">
        <v>16</v>
      </c>
      <c r="C516" s="1854" t="s">
        <v>3350</v>
      </c>
      <c r="D516" s="1854" t="s">
        <v>3351</v>
      </c>
      <c r="E516" s="1854" t="s">
        <v>3352</v>
      </c>
      <c r="F516" s="1854" t="s">
        <v>2573</v>
      </c>
      <c r="G516" s="1854" t="s">
        <v>22</v>
      </c>
      <c r="H516" s="1854" t="s">
        <v>22</v>
      </c>
      <c r="I516" s="1854" t="s">
        <v>1158</v>
      </c>
    </row>
    <row customHeight="1" ht="11.25">
      <c r="A517" s="1854" t="s">
        <v>2542</v>
      </c>
      <c r="B517" s="1854" t="s">
        <v>16</v>
      </c>
      <c r="C517" s="1854" t="s">
        <v>3353</v>
      </c>
      <c r="D517" s="1854" t="s">
        <v>3354</v>
      </c>
      <c r="E517" s="1854" t="s">
        <v>3355</v>
      </c>
      <c r="F517" s="1854" t="s">
        <v>2573</v>
      </c>
      <c r="G517" s="1854" t="s">
        <v>22</v>
      </c>
      <c r="H517" s="1854" t="s">
        <v>22</v>
      </c>
      <c r="I517" s="1854" t="s">
        <v>1158</v>
      </c>
    </row>
    <row customHeight="1" ht="11.25">
      <c r="A518" s="1854" t="s">
        <v>2542</v>
      </c>
      <c r="B518" s="1854" t="s">
        <v>16</v>
      </c>
      <c r="C518" s="1854" t="s">
        <v>3361</v>
      </c>
      <c r="D518" s="1854" t="s">
        <v>3362</v>
      </c>
      <c r="E518" s="1854" t="s">
        <v>3363</v>
      </c>
      <c r="F518" s="1854" t="s">
        <v>3364</v>
      </c>
      <c r="G518" s="1854" t="s">
        <v>22</v>
      </c>
      <c r="H518" s="1854" t="s">
        <v>22</v>
      </c>
      <c r="I518" s="1854" t="s">
        <v>1158</v>
      </c>
    </row>
    <row customHeight="1" ht="11.25">
      <c r="A519" s="1854" t="s">
        <v>2542</v>
      </c>
      <c r="B519" s="1854" t="s">
        <v>16</v>
      </c>
      <c r="C519" s="1854" t="s">
        <v>3372</v>
      </c>
      <c r="D519" s="1854" t="s">
        <v>3373</v>
      </c>
      <c r="E519" s="1854" t="s">
        <v>3374</v>
      </c>
      <c r="F519" s="1854" t="s">
        <v>2591</v>
      </c>
      <c r="G519" s="1854" t="s">
        <v>22</v>
      </c>
      <c r="H519" s="1854" t="s">
        <v>22</v>
      </c>
      <c r="I519" s="1854" t="s">
        <v>1158</v>
      </c>
    </row>
    <row customHeight="1" ht="11.25">
      <c r="A520" s="1854" t="s">
        <v>2542</v>
      </c>
      <c r="B520" s="1854" t="s">
        <v>16</v>
      </c>
      <c r="C520" s="1854" t="s">
        <v>3378</v>
      </c>
      <c r="D520" s="1854" t="s">
        <v>3379</v>
      </c>
      <c r="E520" s="1854" t="s">
        <v>3380</v>
      </c>
      <c r="F520" s="1854" t="s">
        <v>50</v>
      </c>
      <c r="G520" s="1854" t="s">
        <v>3381</v>
      </c>
      <c r="H520" s="1854" t="s">
        <v>22</v>
      </c>
      <c r="I520" s="1854" t="s">
        <v>1158</v>
      </c>
    </row>
    <row customHeight="1" ht="11.25">
      <c r="A521" s="1854" t="s">
        <v>2542</v>
      </c>
      <c r="B521" s="1854" t="s">
        <v>16</v>
      </c>
      <c r="C521" s="1854" t="s">
        <v>3403</v>
      </c>
      <c r="D521" s="1854" t="s">
        <v>3404</v>
      </c>
      <c r="E521" s="1854" t="s">
        <v>3405</v>
      </c>
      <c r="F521" s="1854" t="s">
        <v>2767</v>
      </c>
      <c r="G521" s="1854" t="s">
        <v>22</v>
      </c>
      <c r="H521" s="1854" t="s">
        <v>22</v>
      </c>
      <c r="I521" s="1854" t="s">
        <v>1158</v>
      </c>
    </row>
    <row customHeight="1" ht="11.25">
      <c r="A522" s="1854" t="s">
        <v>2542</v>
      </c>
      <c r="B522" s="1854" t="s">
        <v>16</v>
      </c>
      <c r="C522" s="1854" t="s">
        <v>3406</v>
      </c>
      <c r="D522" s="1854" t="s">
        <v>3407</v>
      </c>
      <c r="E522" s="1854" t="s">
        <v>3408</v>
      </c>
      <c r="F522" s="1854" t="s">
        <v>2610</v>
      </c>
      <c r="G522" s="1854" t="s">
        <v>22</v>
      </c>
      <c r="H522" s="1854" t="s">
        <v>22</v>
      </c>
      <c r="I522" s="1854" t="s">
        <v>1158</v>
      </c>
    </row>
    <row customHeight="1" ht="11.25">
      <c r="A523" s="1854" t="s">
        <v>2542</v>
      </c>
      <c r="B523" s="1854" t="s">
        <v>16</v>
      </c>
      <c r="C523" s="1854" t="s">
        <v>3412</v>
      </c>
      <c r="D523" s="1854" t="s">
        <v>3413</v>
      </c>
      <c r="E523" s="1854" t="s">
        <v>3414</v>
      </c>
      <c r="F523" s="1854" t="s">
        <v>2550</v>
      </c>
      <c r="G523" s="1854" t="s">
        <v>22</v>
      </c>
      <c r="H523" s="1854" t="s">
        <v>22</v>
      </c>
      <c r="I523" s="1854" t="s">
        <v>1158</v>
      </c>
    </row>
    <row customHeight="1" ht="11.25">
      <c r="A524" s="1854" t="s">
        <v>2542</v>
      </c>
      <c r="B524" s="1854" t="s">
        <v>16</v>
      </c>
      <c r="C524" s="1854" t="s">
        <v>3415</v>
      </c>
      <c r="D524" s="1854" t="s">
        <v>3416</v>
      </c>
      <c r="E524" s="1854" t="s">
        <v>3417</v>
      </c>
      <c r="F524" s="1854" t="s">
        <v>2550</v>
      </c>
      <c r="G524" s="1854" t="s">
        <v>22</v>
      </c>
      <c r="H524" s="1854" t="s">
        <v>22</v>
      </c>
      <c r="I524" s="1854" t="s">
        <v>1158</v>
      </c>
    </row>
    <row customHeight="1" ht="11.25">
      <c r="A525" s="1854" t="s">
        <v>2542</v>
      </c>
      <c r="B525" s="1854" t="s">
        <v>16</v>
      </c>
      <c r="C525" s="1854" t="s">
        <v>3421</v>
      </c>
      <c r="D525" s="1854" t="s">
        <v>3422</v>
      </c>
      <c r="E525" s="1854" t="s">
        <v>3423</v>
      </c>
      <c r="F525" s="1854" t="s">
        <v>2606</v>
      </c>
      <c r="G525" s="1854" t="s">
        <v>22</v>
      </c>
      <c r="H525" s="1854" t="s">
        <v>22</v>
      </c>
      <c r="I525" s="1854" t="s">
        <v>1158</v>
      </c>
    </row>
    <row customHeight="1" ht="11.25">
      <c r="A526" s="1854" t="s">
        <v>2542</v>
      </c>
      <c r="B526" s="1854" t="s">
        <v>16</v>
      </c>
      <c r="C526" s="1854" t="s">
        <v>3437</v>
      </c>
      <c r="D526" s="1854" t="s">
        <v>3438</v>
      </c>
      <c r="E526" s="1854" t="s">
        <v>3439</v>
      </c>
      <c r="F526" s="1854" t="s">
        <v>2558</v>
      </c>
      <c r="G526" s="1854" t="s">
        <v>22</v>
      </c>
      <c r="H526" s="1854" t="s">
        <v>22</v>
      </c>
      <c r="I526" s="1854" t="s">
        <v>1158</v>
      </c>
    </row>
    <row customHeight="1" ht="11.25">
      <c r="A527" s="1854" t="s">
        <v>2542</v>
      </c>
      <c r="B527" s="1854" t="s">
        <v>16</v>
      </c>
      <c r="C527" s="1854" t="s">
        <v>3443</v>
      </c>
      <c r="D527" s="1854" t="s">
        <v>3444</v>
      </c>
      <c r="E527" s="1854" t="s">
        <v>3445</v>
      </c>
      <c r="F527" s="1854" t="s">
        <v>2573</v>
      </c>
      <c r="G527" s="1854" t="s">
        <v>3446</v>
      </c>
      <c r="H527" s="1854" t="s">
        <v>22</v>
      </c>
      <c r="I527" s="1854" t="s">
        <v>1158</v>
      </c>
    </row>
    <row customHeight="1" ht="11.25">
      <c r="A528" s="1854" t="s">
        <v>2542</v>
      </c>
      <c r="B528" s="1854" t="s">
        <v>16</v>
      </c>
      <c r="C528" s="1854" t="s">
        <v>3447</v>
      </c>
      <c r="D528" s="1854" t="s">
        <v>3448</v>
      </c>
      <c r="E528" s="1854" t="s">
        <v>3449</v>
      </c>
      <c r="F528" s="1854" t="s">
        <v>2573</v>
      </c>
      <c r="G528" s="1854" t="s">
        <v>22</v>
      </c>
      <c r="H528" s="1854" t="s">
        <v>22</v>
      </c>
      <c r="I528" s="1854" t="s">
        <v>1158</v>
      </c>
    </row>
    <row customHeight="1" ht="11.25">
      <c r="A529" s="1854" t="s">
        <v>2542</v>
      </c>
      <c r="B529" s="1854" t="s">
        <v>16</v>
      </c>
      <c r="C529" s="1854" t="s">
        <v>3450</v>
      </c>
      <c r="D529" s="1854" t="s">
        <v>3451</v>
      </c>
      <c r="E529" s="1854" t="s">
        <v>3452</v>
      </c>
      <c r="F529" s="1854" t="s">
        <v>3256</v>
      </c>
      <c r="G529" s="1854" t="s">
        <v>22</v>
      </c>
      <c r="H529" s="1854" t="s">
        <v>22</v>
      </c>
      <c r="I529" s="1854" t="s">
        <v>1158</v>
      </c>
    </row>
    <row customHeight="1" ht="11.25">
      <c r="A530" s="1854" t="s">
        <v>2542</v>
      </c>
      <c r="B530" s="1854" t="s">
        <v>16</v>
      </c>
      <c r="C530" s="1854" t="s">
        <v>3459</v>
      </c>
      <c r="D530" s="1854" t="s">
        <v>3460</v>
      </c>
      <c r="E530" s="1854" t="s">
        <v>3461</v>
      </c>
      <c r="F530" s="1854" t="s">
        <v>2679</v>
      </c>
      <c r="G530" s="1854" t="s">
        <v>3462</v>
      </c>
      <c r="H530" s="1854" t="s">
        <v>22</v>
      </c>
      <c r="I530" s="1854" t="s">
        <v>1158</v>
      </c>
    </row>
    <row customHeight="1" ht="11.25">
      <c r="A531" s="1854" t="s">
        <v>2542</v>
      </c>
      <c r="B531" s="1854" t="s">
        <v>16</v>
      </c>
      <c r="C531" s="1854" t="s">
        <v>3472</v>
      </c>
      <c r="D531" s="1854" t="s">
        <v>3473</v>
      </c>
      <c r="E531" s="1854" t="s">
        <v>3474</v>
      </c>
      <c r="F531" s="1854" t="s">
        <v>3052</v>
      </c>
      <c r="G531" s="1854" t="s">
        <v>22</v>
      </c>
      <c r="H531" s="1854" t="s">
        <v>22</v>
      </c>
      <c r="I531" s="1854" t="s">
        <v>1158</v>
      </c>
    </row>
    <row customHeight="1" ht="11.25">
      <c r="A532" s="1854" t="s">
        <v>2542</v>
      </c>
      <c r="B532" s="1854" t="s">
        <v>16</v>
      </c>
      <c r="C532" s="1854" t="s">
        <v>3483</v>
      </c>
      <c r="D532" s="1854" t="s">
        <v>3484</v>
      </c>
      <c r="E532" s="1854" t="s">
        <v>3485</v>
      </c>
      <c r="F532" s="1854" t="s">
        <v>2679</v>
      </c>
      <c r="G532" s="1854" t="s">
        <v>22</v>
      </c>
      <c r="H532" s="1854" t="s">
        <v>22</v>
      </c>
      <c r="I532" s="1854" t="s">
        <v>1158</v>
      </c>
    </row>
    <row customHeight="1" ht="11.25">
      <c r="A533" s="1854" t="s">
        <v>2542</v>
      </c>
      <c r="B533" s="1854" t="s">
        <v>16</v>
      </c>
      <c r="C533" s="1854" t="s">
        <v>3502</v>
      </c>
      <c r="D533" s="1854" t="s">
        <v>3503</v>
      </c>
      <c r="E533" s="1854" t="s">
        <v>3504</v>
      </c>
      <c r="F533" s="1854" t="s">
        <v>3102</v>
      </c>
      <c r="G533" s="1854" t="s">
        <v>3505</v>
      </c>
      <c r="H533" s="1854" t="s">
        <v>22</v>
      </c>
      <c r="I533" s="1854" t="s">
        <v>1158</v>
      </c>
    </row>
    <row customHeight="1" ht="11.25">
      <c r="A534" s="1854" t="s">
        <v>2542</v>
      </c>
      <c r="B534" s="1854" t="s">
        <v>16</v>
      </c>
      <c r="C534" s="1854" t="s">
        <v>3506</v>
      </c>
      <c r="D534" s="1854" t="s">
        <v>3507</v>
      </c>
      <c r="E534" s="1854" t="s">
        <v>3508</v>
      </c>
      <c r="F534" s="1854" t="s">
        <v>2844</v>
      </c>
      <c r="G534" s="1854" t="s">
        <v>3509</v>
      </c>
      <c r="H534" s="1854" t="s">
        <v>22</v>
      </c>
      <c r="I534" s="1854" t="s">
        <v>1158</v>
      </c>
    </row>
    <row customHeight="1" ht="11.25">
      <c r="A535" s="1854" t="s">
        <v>2542</v>
      </c>
      <c r="B535" s="1854" t="s">
        <v>16</v>
      </c>
      <c r="C535" s="1854" t="s">
        <v>3514</v>
      </c>
      <c r="D535" s="1854" t="s">
        <v>3515</v>
      </c>
      <c r="E535" s="1854" t="s">
        <v>3516</v>
      </c>
      <c r="F535" s="1854" t="s">
        <v>2550</v>
      </c>
      <c r="G535" s="1854" t="s">
        <v>22</v>
      </c>
      <c r="H535" s="1854" t="s">
        <v>22</v>
      </c>
      <c r="I535" s="1854" t="s">
        <v>1158</v>
      </c>
    </row>
    <row customHeight="1" ht="11.25">
      <c r="A536" s="1854" t="s">
        <v>2542</v>
      </c>
      <c r="B536" s="1854" t="s">
        <v>16</v>
      </c>
      <c r="C536" s="1854" t="s">
        <v>3521</v>
      </c>
      <c r="D536" s="1854" t="s">
        <v>3522</v>
      </c>
      <c r="E536" s="1854" t="s">
        <v>3523</v>
      </c>
      <c r="F536" s="1854" t="s">
        <v>2669</v>
      </c>
      <c r="G536" s="1854" t="s">
        <v>3524</v>
      </c>
      <c r="H536" s="1854" t="s">
        <v>22</v>
      </c>
      <c r="I536" s="1854" t="s">
        <v>1158</v>
      </c>
    </row>
    <row customHeight="1" ht="11.25">
      <c r="A537" s="1854" t="s">
        <v>2542</v>
      </c>
      <c r="B537" s="1854" t="s">
        <v>16</v>
      </c>
      <c r="C537" s="1854" t="s">
        <v>3528</v>
      </c>
      <c r="D537" s="1854" t="s">
        <v>3529</v>
      </c>
      <c r="E537" s="1854" t="s">
        <v>3530</v>
      </c>
      <c r="F537" s="1854" t="s">
        <v>2844</v>
      </c>
      <c r="G537" s="1854" t="s">
        <v>22</v>
      </c>
      <c r="H537" s="1854" t="s">
        <v>22</v>
      </c>
      <c r="I537" s="1854" t="s">
        <v>1158</v>
      </c>
    </row>
    <row customHeight="1" ht="11.25">
      <c r="A538" s="1854" t="s">
        <v>2542</v>
      </c>
      <c r="B538" s="1854" t="s">
        <v>16</v>
      </c>
      <c r="C538" s="1854" t="s">
        <v>3531</v>
      </c>
      <c r="D538" s="1854" t="s">
        <v>3532</v>
      </c>
      <c r="E538" s="1854" t="s">
        <v>3533</v>
      </c>
      <c r="F538" s="1854" t="s">
        <v>2550</v>
      </c>
      <c r="G538" s="1854" t="s">
        <v>22</v>
      </c>
      <c r="H538" s="1854" t="s">
        <v>22</v>
      </c>
      <c r="I538" s="1854" t="s">
        <v>1158</v>
      </c>
    </row>
    <row customHeight="1" ht="11.25">
      <c r="A539" s="1854" t="s">
        <v>2542</v>
      </c>
      <c r="B539" s="1854" t="s">
        <v>16</v>
      </c>
      <c r="C539" s="1854" t="s">
        <v>3541</v>
      </c>
      <c r="D539" s="1854" t="s">
        <v>3542</v>
      </c>
      <c r="E539" s="1854" t="s">
        <v>3543</v>
      </c>
      <c r="F539" s="1854" t="s">
        <v>2821</v>
      </c>
      <c r="G539" s="1854" t="s">
        <v>22</v>
      </c>
      <c r="H539" s="1854" t="s">
        <v>22</v>
      </c>
      <c r="I539" s="1854" t="s">
        <v>1158</v>
      </c>
    </row>
    <row customHeight="1" ht="11.25">
      <c r="A540" s="1854" t="s">
        <v>2542</v>
      </c>
      <c r="B540" s="1854" t="s">
        <v>16</v>
      </c>
      <c r="C540" s="1854" t="s">
        <v>3544</v>
      </c>
      <c r="D540" s="1854" t="s">
        <v>3545</v>
      </c>
      <c r="E540" s="1854" t="s">
        <v>3546</v>
      </c>
      <c r="F540" s="1854" t="s">
        <v>2665</v>
      </c>
      <c r="G540" s="1854" t="s">
        <v>22</v>
      </c>
      <c r="H540" s="1854" t="s">
        <v>22</v>
      </c>
      <c r="I540" s="1854" t="s">
        <v>1158</v>
      </c>
    </row>
    <row customHeight="1" ht="11.25">
      <c r="A541" s="1854" t="s">
        <v>2542</v>
      </c>
      <c r="B541" s="1854" t="s">
        <v>16</v>
      </c>
      <c r="C541" s="1854" t="s">
        <v>3560</v>
      </c>
      <c r="D541" s="1854" t="s">
        <v>3561</v>
      </c>
      <c r="E541" s="1854" t="s">
        <v>3562</v>
      </c>
      <c r="F541" s="1854" t="s">
        <v>2563</v>
      </c>
      <c r="G541" s="1854" t="s">
        <v>22</v>
      </c>
      <c r="H541" s="1854" t="s">
        <v>22</v>
      </c>
      <c r="I541" s="1854" t="s">
        <v>1158</v>
      </c>
    </row>
    <row customHeight="1" ht="11.25">
      <c r="A542" s="1854" t="s">
        <v>2542</v>
      </c>
      <c r="B542" s="1854" t="s">
        <v>16</v>
      </c>
      <c r="C542" s="1854" t="s">
        <v>3563</v>
      </c>
      <c r="D542" s="1854" t="s">
        <v>3564</v>
      </c>
      <c r="E542" s="1854" t="s">
        <v>3565</v>
      </c>
      <c r="F542" s="1854" t="s">
        <v>2620</v>
      </c>
      <c r="G542" s="1854" t="s">
        <v>22</v>
      </c>
      <c r="H542" s="1854" t="s">
        <v>22</v>
      </c>
      <c r="I542" s="1854" t="s">
        <v>1158</v>
      </c>
    </row>
    <row customHeight="1" ht="11.25">
      <c r="A543" s="1854" t="s">
        <v>2542</v>
      </c>
      <c r="B543" s="1854" t="s">
        <v>16</v>
      </c>
      <c r="C543" s="1854" t="s">
        <v>3566</v>
      </c>
      <c r="D543" s="1854" t="s">
        <v>3567</v>
      </c>
      <c r="E543" s="1854" t="s">
        <v>3568</v>
      </c>
      <c r="F543" s="1854" t="s">
        <v>2591</v>
      </c>
      <c r="G543" s="1854" t="s">
        <v>22</v>
      </c>
      <c r="H543" s="1854" t="s">
        <v>22</v>
      </c>
      <c r="I543" s="1854" t="s">
        <v>1158</v>
      </c>
    </row>
    <row customHeight="1" ht="11.25">
      <c r="A544" s="1854" t="s">
        <v>2542</v>
      </c>
      <c r="B544" s="1854" t="s">
        <v>16</v>
      </c>
      <c r="C544" s="1854" t="s">
        <v>3569</v>
      </c>
      <c r="D544" s="1854" t="s">
        <v>3570</v>
      </c>
      <c r="E544" s="1854" t="s">
        <v>3571</v>
      </c>
      <c r="F544" s="1854" t="s">
        <v>2679</v>
      </c>
      <c r="G544" s="1854" t="s">
        <v>22</v>
      </c>
      <c r="H544" s="1854" t="s">
        <v>22</v>
      </c>
      <c r="I544" s="1854" t="s">
        <v>1158</v>
      </c>
    </row>
    <row customHeight="1" ht="11.25">
      <c r="A545" s="1854" t="s">
        <v>2542</v>
      </c>
      <c r="B545" s="1854" t="s">
        <v>16</v>
      </c>
      <c r="C545" s="1854" t="s">
        <v>3579</v>
      </c>
      <c r="D545" s="1854" t="s">
        <v>3580</v>
      </c>
      <c r="E545" s="1854" t="s">
        <v>3581</v>
      </c>
      <c r="F545" s="1854" t="s">
        <v>2984</v>
      </c>
      <c r="G545" s="1854" t="s">
        <v>22</v>
      </c>
      <c r="H545" s="1854" t="s">
        <v>3582</v>
      </c>
      <c r="I545" s="1854" t="s">
        <v>1158</v>
      </c>
    </row>
    <row customHeight="1" ht="11.25">
      <c r="A546" s="1854" t="s">
        <v>2542</v>
      </c>
      <c r="B546" s="1854" t="s">
        <v>16</v>
      </c>
      <c r="C546" s="1854" t="s">
        <v>3586</v>
      </c>
      <c r="D546" s="1854" t="s">
        <v>3587</v>
      </c>
      <c r="E546" s="1854" t="s">
        <v>3588</v>
      </c>
      <c r="F546" s="1854" t="s">
        <v>2917</v>
      </c>
      <c r="G546" s="1854" t="s">
        <v>22</v>
      </c>
      <c r="H546" s="1854" t="s">
        <v>22</v>
      </c>
      <c r="I546" s="1854" t="s">
        <v>1158</v>
      </c>
    </row>
    <row customHeight="1" ht="11.25">
      <c r="A547" s="1854" t="s">
        <v>2542</v>
      </c>
      <c r="B547" s="1854" t="s">
        <v>16</v>
      </c>
      <c r="C547" s="1854" t="s">
        <v>3597</v>
      </c>
      <c r="D547" s="1854" t="s">
        <v>3598</v>
      </c>
      <c r="E547" s="1854" t="s">
        <v>3599</v>
      </c>
      <c r="F547" s="1854" t="s">
        <v>3600</v>
      </c>
      <c r="G547" s="1854" t="s">
        <v>22</v>
      </c>
      <c r="H547" s="1854" t="s">
        <v>22</v>
      </c>
      <c r="I547" s="1854" t="s">
        <v>1158</v>
      </c>
    </row>
    <row customHeight="1" ht="11.25">
      <c r="A548" s="1854" t="s">
        <v>2542</v>
      </c>
      <c r="B548" s="1854" t="s">
        <v>16</v>
      </c>
      <c r="C548" s="1854" t="s">
        <v>3607</v>
      </c>
      <c r="D548" s="1854" t="s">
        <v>3608</v>
      </c>
      <c r="E548" s="1854" t="s">
        <v>3609</v>
      </c>
      <c r="F548" s="1854" t="s">
        <v>3610</v>
      </c>
      <c r="G548" s="1854" t="s">
        <v>22</v>
      </c>
      <c r="H548" s="1854" t="s">
        <v>22</v>
      </c>
      <c r="I548" s="1854" t="s">
        <v>1158</v>
      </c>
    </row>
    <row customHeight="1" ht="11.25">
      <c r="A549" s="1854" t="s">
        <v>2542</v>
      </c>
      <c r="B549" s="1854" t="s">
        <v>16</v>
      </c>
      <c r="C549" s="1854" t="s">
        <v>3611</v>
      </c>
      <c r="D549" s="1854" t="s">
        <v>3612</v>
      </c>
      <c r="E549" s="1854" t="s">
        <v>3613</v>
      </c>
      <c r="F549" s="1854" t="s">
        <v>2620</v>
      </c>
      <c r="G549" s="1854" t="s">
        <v>22</v>
      </c>
      <c r="H549" s="1854" t="s">
        <v>22</v>
      </c>
      <c r="I549" s="1854" t="s">
        <v>1158</v>
      </c>
    </row>
    <row customHeight="1" ht="11.25">
      <c r="A550" s="1854" t="s">
        <v>2542</v>
      </c>
      <c r="B550" s="1854" t="s">
        <v>16</v>
      </c>
      <c r="C550" s="1854" t="s">
        <v>3621</v>
      </c>
      <c r="D550" s="1854" t="s">
        <v>3622</v>
      </c>
      <c r="E550" s="1854" t="s">
        <v>3623</v>
      </c>
      <c r="F550" s="1854" t="s">
        <v>2794</v>
      </c>
      <c r="G550" s="1854" t="s">
        <v>22</v>
      </c>
      <c r="H550" s="1854" t="s">
        <v>22</v>
      </c>
      <c r="I550" s="1854" t="s">
        <v>1158</v>
      </c>
    </row>
    <row customHeight="1" ht="11.25">
      <c r="A551" s="1854" t="s">
        <v>2542</v>
      </c>
      <c r="B551" s="1854" t="s">
        <v>16</v>
      </c>
      <c r="C551" s="1854" t="s">
        <v>3627</v>
      </c>
      <c r="D551" s="1854" t="s">
        <v>3628</v>
      </c>
      <c r="E551" s="1854" t="s">
        <v>3629</v>
      </c>
      <c r="F551" s="1854" t="s">
        <v>2953</v>
      </c>
      <c r="G551" s="1854" t="s">
        <v>22</v>
      </c>
      <c r="H551" s="1854" t="s">
        <v>22</v>
      </c>
      <c r="I551" s="1854" t="s">
        <v>1158</v>
      </c>
    </row>
    <row customHeight="1" ht="11.25">
      <c r="A552" s="1854" t="s">
        <v>2542</v>
      </c>
      <c r="B552" s="1854" t="s">
        <v>16</v>
      </c>
      <c r="C552" s="1854" t="s">
        <v>3630</v>
      </c>
      <c r="D552" s="1854" t="s">
        <v>3631</v>
      </c>
      <c r="E552" s="1854" t="s">
        <v>3632</v>
      </c>
      <c r="F552" s="1854" t="s">
        <v>50</v>
      </c>
      <c r="G552" s="1854" t="s">
        <v>22</v>
      </c>
      <c r="H552" s="1854" t="s">
        <v>22</v>
      </c>
      <c r="I552" s="1854" t="s">
        <v>1158</v>
      </c>
    </row>
    <row customHeight="1" ht="11.25">
      <c r="A553" s="1854" t="s">
        <v>2542</v>
      </c>
      <c r="B553" s="1854" t="s">
        <v>16</v>
      </c>
      <c r="C553" s="1854" t="s">
        <v>3639</v>
      </c>
      <c r="D553" s="1854" t="s">
        <v>3640</v>
      </c>
      <c r="E553" s="1854" t="s">
        <v>3641</v>
      </c>
      <c r="F553" s="1854" t="s">
        <v>3642</v>
      </c>
      <c r="G553" s="1854" t="s">
        <v>3643</v>
      </c>
      <c r="H553" s="1854" t="s">
        <v>22</v>
      </c>
      <c r="I553" s="1854" t="s">
        <v>1158</v>
      </c>
    </row>
    <row customHeight="1" ht="11.25">
      <c r="A554" s="1854" t="s">
        <v>2542</v>
      </c>
      <c r="B554" s="1854" t="s">
        <v>16</v>
      </c>
      <c r="C554" s="1854" t="s">
        <v>3644</v>
      </c>
      <c r="D554" s="1854" t="s">
        <v>3645</v>
      </c>
      <c r="E554" s="1854" t="s">
        <v>3646</v>
      </c>
      <c r="F554" s="1854" t="s">
        <v>2973</v>
      </c>
      <c r="G554" s="1854" t="s">
        <v>3647</v>
      </c>
      <c r="H554" s="1854" t="s">
        <v>22</v>
      </c>
      <c r="I554" s="1854" t="s">
        <v>1158</v>
      </c>
    </row>
    <row customHeight="1" ht="11.25">
      <c r="A555" s="1854" t="s">
        <v>2542</v>
      </c>
      <c r="B555" s="1854" t="s">
        <v>16</v>
      </c>
      <c r="C555" s="1854" t="s">
        <v>3666</v>
      </c>
      <c r="D555" s="1854" t="s">
        <v>3667</v>
      </c>
      <c r="E555" s="1854" t="s">
        <v>3668</v>
      </c>
      <c r="F555" s="1854" t="s">
        <v>2844</v>
      </c>
      <c r="G555" s="1854" t="s">
        <v>22</v>
      </c>
      <c r="H555" s="1854" t="s">
        <v>22</v>
      </c>
      <c r="I555" s="1854" t="s">
        <v>1158</v>
      </c>
    </row>
    <row customHeight="1" ht="11.25">
      <c r="A556" s="1854" t="s">
        <v>2542</v>
      </c>
      <c r="B556" s="1854" t="s">
        <v>16</v>
      </c>
      <c r="C556" s="1854" t="s">
        <v>3675</v>
      </c>
      <c r="D556" s="1854" t="s">
        <v>3676</v>
      </c>
      <c r="E556" s="1854" t="s">
        <v>3677</v>
      </c>
      <c r="F556" s="1854" t="s">
        <v>2550</v>
      </c>
      <c r="G556" s="1854" t="s">
        <v>22</v>
      </c>
      <c r="H556" s="1854" t="s">
        <v>22</v>
      </c>
      <c r="I556" s="1854" t="s">
        <v>1158</v>
      </c>
    </row>
    <row customHeight="1" ht="11.25">
      <c r="A557" s="1854" t="s">
        <v>2542</v>
      </c>
      <c r="B557" s="1854" t="s">
        <v>16</v>
      </c>
      <c r="C557" s="1854" t="s">
        <v>3678</v>
      </c>
      <c r="D557" s="1854" t="s">
        <v>3679</v>
      </c>
      <c r="E557" s="1854" t="s">
        <v>3680</v>
      </c>
      <c r="F557" s="1854" t="s">
        <v>2606</v>
      </c>
      <c r="G557" s="1854" t="s">
        <v>22</v>
      </c>
      <c r="H557" s="1854" t="s">
        <v>22</v>
      </c>
      <c r="I557" s="1854" t="s">
        <v>1158</v>
      </c>
    </row>
    <row customHeight="1" ht="11.25">
      <c r="A558" s="1854" t="s">
        <v>2542</v>
      </c>
      <c r="B558" s="1854" t="s">
        <v>16</v>
      </c>
      <c r="C558" s="1854" t="s">
        <v>3690</v>
      </c>
      <c r="D558" s="1854" t="s">
        <v>3691</v>
      </c>
      <c r="E558" s="1854" t="s">
        <v>3692</v>
      </c>
      <c r="F558" s="1854" t="s">
        <v>3181</v>
      </c>
      <c r="G558" s="1854" t="s">
        <v>22</v>
      </c>
      <c r="H558" s="1854" t="s">
        <v>22</v>
      </c>
      <c r="I558" s="1854" t="s">
        <v>1158</v>
      </c>
    </row>
    <row customHeight="1" ht="11.25">
      <c r="A559" s="1854" t="s">
        <v>2542</v>
      </c>
      <c r="B559" s="1854" t="s">
        <v>16</v>
      </c>
      <c r="C559" s="1854" t="s">
        <v>3693</v>
      </c>
      <c r="D559" s="1854" t="s">
        <v>3694</v>
      </c>
      <c r="E559" s="1854" t="s">
        <v>3695</v>
      </c>
      <c r="F559" s="1854" t="s">
        <v>2844</v>
      </c>
      <c r="G559" s="1854" t="s">
        <v>22</v>
      </c>
      <c r="H559" s="1854" t="s">
        <v>22</v>
      </c>
      <c r="I559" s="1854" t="s">
        <v>1158</v>
      </c>
    </row>
    <row customHeight="1" ht="11.25">
      <c r="A560" s="1854" t="s">
        <v>2542</v>
      </c>
      <c r="B560" s="1854" t="s">
        <v>16</v>
      </c>
      <c r="C560" s="1854" t="s">
        <v>3699</v>
      </c>
      <c r="D560" s="1854" t="s">
        <v>3700</v>
      </c>
      <c r="E560" s="1854" t="s">
        <v>3701</v>
      </c>
      <c r="F560" s="1854" t="s">
        <v>2573</v>
      </c>
      <c r="G560" s="1854" t="s">
        <v>22</v>
      </c>
      <c r="H560" s="1854" t="s">
        <v>22</v>
      </c>
      <c r="I560" s="1854" t="s">
        <v>1158</v>
      </c>
    </row>
    <row customHeight="1" ht="11.25">
      <c r="A561" s="1854" t="s">
        <v>2542</v>
      </c>
      <c r="B561" s="1854" t="s">
        <v>16</v>
      </c>
      <c r="C561" s="1854" t="s">
        <v>3702</v>
      </c>
      <c r="D561" s="1854" t="s">
        <v>3703</v>
      </c>
      <c r="E561" s="1854" t="s">
        <v>3704</v>
      </c>
      <c r="F561" s="1854" t="s">
        <v>3592</v>
      </c>
      <c r="G561" s="1854" t="s">
        <v>22</v>
      </c>
      <c r="H561" s="1854" t="s">
        <v>22</v>
      </c>
      <c r="I561" s="1854" t="s">
        <v>1158</v>
      </c>
    </row>
    <row customHeight="1" ht="11.25">
      <c r="A562" s="1854" t="s">
        <v>2542</v>
      </c>
      <c r="B562" s="1854" t="s">
        <v>16</v>
      </c>
      <c r="C562" s="1854" t="s">
        <v>3705</v>
      </c>
      <c r="D562" s="1854" t="s">
        <v>3706</v>
      </c>
      <c r="E562" s="1854" t="s">
        <v>3707</v>
      </c>
      <c r="F562" s="1854" t="s">
        <v>3102</v>
      </c>
      <c r="G562" s="1854" t="s">
        <v>22</v>
      </c>
      <c r="H562" s="1854" t="s">
        <v>22</v>
      </c>
      <c r="I562" s="1854" t="s">
        <v>1158</v>
      </c>
    </row>
    <row customHeight="1" ht="11.25">
      <c r="A563" s="1854" t="s">
        <v>2542</v>
      </c>
      <c r="B563" s="1854" t="s">
        <v>16</v>
      </c>
      <c r="C563" s="1854" t="s">
        <v>3708</v>
      </c>
      <c r="D563" s="1854" t="s">
        <v>3709</v>
      </c>
      <c r="E563" s="1854" t="s">
        <v>3710</v>
      </c>
      <c r="F563" s="1854" t="s">
        <v>2584</v>
      </c>
      <c r="G563" s="1854" t="s">
        <v>22</v>
      </c>
      <c r="H563" s="1854" t="s">
        <v>22</v>
      </c>
      <c r="I563" s="1854" t="s">
        <v>1158</v>
      </c>
    </row>
    <row customHeight="1" ht="11.25">
      <c r="A564" s="1854" t="s">
        <v>2542</v>
      </c>
      <c r="B564" s="1854" t="s">
        <v>16</v>
      </c>
      <c r="C564" s="1854" t="s">
        <v>3711</v>
      </c>
      <c r="D564" s="1854" t="s">
        <v>3712</v>
      </c>
      <c r="E564" s="1854" t="s">
        <v>3713</v>
      </c>
      <c r="F564" s="1854" t="s">
        <v>3156</v>
      </c>
      <c r="G564" s="1854" t="s">
        <v>22</v>
      </c>
      <c r="H564" s="1854" t="s">
        <v>22</v>
      </c>
      <c r="I564" s="1854" t="s">
        <v>1158</v>
      </c>
    </row>
    <row customHeight="1" ht="11.25">
      <c r="A565" s="1854" t="s">
        <v>2542</v>
      </c>
      <c r="B565" s="1854" t="s">
        <v>16</v>
      </c>
      <c r="C565" s="1854" t="s">
        <v>3714</v>
      </c>
      <c r="D565" s="1854" t="s">
        <v>3715</v>
      </c>
      <c r="E565" s="1854" t="s">
        <v>3716</v>
      </c>
      <c r="F565" s="1854" t="s">
        <v>3256</v>
      </c>
      <c r="G565" s="1854" t="s">
        <v>22</v>
      </c>
      <c r="H565" s="1854" t="s">
        <v>22</v>
      </c>
      <c r="I565" s="1854" t="s">
        <v>1158</v>
      </c>
    </row>
    <row customHeight="1" ht="11.25">
      <c r="A566" s="1854" t="s">
        <v>2542</v>
      </c>
      <c r="B566" s="1854" t="s">
        <v>16</v>
      </c>
      <c r="C566" s="1854" t="s">
        <v>3717</v>
      </c>
      <c r="D566" s="1854" t="s">
        <v>3718</v>
      </c>
      <c r="E566" s="1854" t="s">
        <v>3719</v>
      </c>
      <c r="F566" s="1854" t="s">
        <v>3720</v>
      </c>
      <c r="G566" s="1854" t="s">
        <v>3721</v>
      </c>
      <c r="H566" s="1854" t="s">
        <v>22</v>
      </c>
      <c r="I566" s="1854" t="s">
        <v>1158</v>
      </c>
    </row>
    <row customHeight="1" ht="11.25">
      <c r="A567" s="1854" t="s">
        <v>2542</v>
      </c>
      <c r="B567" s="1854" t="s">
        <v>16</v>
      </c>
      <c r="C567" s="1854" t="s">
        <v>3722</v>
      </c>
      <c r="D567" s="1854" t="s">
        <v>3723</v>
      </c>
      <c r="E567" s="1854" t="s">
        <v>3724</v>
      </c>
      <c r="F567" s="1854" t="s">
        <v>2573</v>
      </c>
      <c r="G567" s="1854" t="s">
        <v>22</v>
      </c>
      <c r="H567" s="1854" t="s">
        <v>22</v>
      </c>
      <c r="I567" s="1854" t="s">
        <v>1158</v>
      </c>
    </row>
    <row customHeight="1" ht="11.25">
      <c r="A568" s="1854" t="s">
        <v>2542</v>
      </c>
      <c r="B568" s="1854" t="s">
        <v>16</v>
      </c>
      <c r="C568" s="1854" t="s">
        <v>3728</v>
      </c>
      <c r="D568" s="1854" t="s">
        <v>3729</v>
      </c>
      <c r="E568" s="1854" t="s">
        <v>3730</v>
      </c>
      <c r="F568" s="1854" t="s">
        <v>3731</v>
      </c>
      <c r="G568" s="1854" t="s">
        <v>22</v>
      </c>
      <c r="H568" s="1854" t="s">
        <v>22</v>
      </c>
      <c r="I568" s="1854" t="s">
        <v>1158</v>
      </c>
    </row>
    <row customHeight="1" ht="11.25">
      <c r="A569" s="1854" t="s">
        <v>2542</v>
      </c>
      <c r="B569" s="1854" t="s">
        <v>16</v>
      </c>
      <c r="C569" s="1854" t="s">
        <v>3732</v>
      </c>
      <c r="D569" s="1854" t="s">
        <v>3733</v>
      </c>
      <c r="E569" s="1854" t="s">
        <v>3734</v>
      </c>
      <c r="F569" s="1854" t="s">
        <v>2821</v>
      </c>
      <c r="G569" s="1854" t="s">
        <v>22</v>
      </c>
      <c r="H569" s="1854" t="s">
        <v>22</v>
      </c>
      <c r="I569" s="1854" t="s">
        <v>1158</v>
      </c>
    </row>
    <row customHeight="1" ht="11.25">
      <c r="A570" s="1854" t="s">
        <v>2542</v>
      </c>
      <c r="B570" s="1854" t="s">
        <v>16</v>
      </c>
      <c r="C570" s="1854" t="s">
        <v>3744</v>
      </c>
      <c r="D570" s="1854" t="s">
        <v>3745</v>
      </c>
      <c r="E570" s="1854" t="s">
        <v>3746</v>
      </c>
      <c r="F570" s="1854" t="s">
        <v>2599</v>
      </c>
      <c r="G570" s="1854" t="s">
        <v>22</v>
      </c>
      <c r="H570" s="1854" t="s">
        <v>22</v>
      </c>
      <c r="I570" s="1854" t="s">
        <v>1158</v>
      </c>
    </row>
    <row customHeight="1" ht="11.25">
      <c r="A571" s="1854" t="s">
        <v>2542</v>
      </c>
      <c r="B571" s="1854" t="s">
        <v>16</v>
      </c>
      <c r="C571" s="1854" t="s">
        <v>3750</v>
      </c>
      <c r="D571" s="1854" t="s">
        <v>3751</v>
      </c>
      <c r="E571" s="1854" t="s">
        <v>3752</v>
      </c>
      <c r="F571" s="1854" t="s">
        <v>2620</v>
      </c>
      <c r="G571" s="1854" t="s">
        <v>22</v>
      </c>
      <c r="H571" s="1854" t="s">
        <v>22</v>
      </c>
      <c r="I571" s="1854" t="s">
        <v>1158</v>
      </c>
    </row>
    <row customHeight="1" ht="11.25">
      <c r="A572" s="1854" t="s">
        <v>2542</v>
      </c>
      <c r="B572" s="1854" t="s">
        <v>16</v>
      </c>
      <c r="C572" s="1854" t="s">
        <v>3753</v>
      </c>
      <c r="D572" s="1854" t="s">
        <v>3754</v>
      </c>
      <c r="E572" s="1854" t="s">
        <v>3755</v>
      </c>
      <c r="F572" s="1854" t="s">
        <v>2620</v>
      </c>
      <c r="G572" s="1854" t="s">
        <v>22</v>
      </c>
      <c r="H572" s="1854" t="s">
        <v>22</v>
      </c>
      <c r="I572" s="1854" t="s">
        <v>1158</v>
      </c>
    </row>
    <row customHeight="1" ht="11.25">
      <c r="A573" s="1854" t="s">
        <v>2542</v>
      </c>
      <c r="B573" s="1854" t="s">
        <v>16</v>
      </c>
      <c r="C573" s="1854" t="s">
        <v>3759</v>
      </c>
      <c r="D573" s="1854" t="s">
        <v>3760</v>
      </c>
      <c r="E573" s="1854" t="s">
        <v>3761</v>
      </c>
      <c r="F573" s="1854" t="s">
        <v>2550</v>
      </c>
      <c r="G573" s="1854" t="s">
        <v>22</v>
      </c>
      <c r="H573" s="1854" t="s">
        <v>22</v>
      </c>
      <c r="I573" s="1854" t="s">
        <v>1158</v>
      </c>
    </row>
    <row customHeight="1" ht="11.25">
      <c r="A574" s="1854" t="s">
        <v>2542</v>
      </c>
      <c r="B574" s="1854" t="s">
        <v>16</v>
      </c>
      <c r="C574" s="1854" t="s">
        <v>3773</v>
      </c>
      <c r="D574" s="1854" t="s">
        <v>3774</v>
      </c>
      <c r="E574" s="1854" t="s">
        <v>3775</v>
      </c>
      <c r="F574" s="1854" t="s">
        <v>2550</v>
      </c>
      <c r="G574" s="1854" t="s">
        <v>22</v>
      </c>
      <c r="H574" s="1854" t="s">
        <v>22</v>
      </c>
      <c r="I574" s="1854" t="s">
        <v>1158</v>
      </c>
    </row>
    <row customHeight="1" ht="11.25">
      <c r="A575" s="1854" t="s">
        <v>2542</v>
      </c>
      <c r="B575" s="1854" t="s">
        <v>16</v>
      </c>
      <c r="C575" s="1854" t="s">
        <v>3779</v>
      </c>
      <c r="D575" s="1854" t="s">
        <v>3780</v>
      </c>
      <c r="E575" s="1854" t="s">
        <v>3781</v>
      </c>
      <c r="F575" s="1854" t="s">
        <v>2610</v>
      </c>
      <c r="G575" s="1854" t="s">
        <v>22</v>
      </c>
      <c r="H575" s="1854" t="s">
        <v>22</v>
      </c>
      <c r="I575" s="1854" t="s">
        <v>1158</v>
      </c>
    </row>
    <row customHeight="1" ht="11.25">
      <c r="A576" s="1854" t="s">
        <v>2542</v>
      </c>
      <c r="B576" s="1854" t="s">
        <v>16</v>
      </c>
      <c r="C576" s="1854" t="s">
        <v>3788</v>
      </c>
      <c r="D576" s="1854" t="s">
        <v>3789</v>
      </c>
      <c r="E576" s="1854" t="s">
        <v>3790</v>
      </c>
      <c r="F576" s="1854" t="s">
        <v>2550</v>
      </c>
      <c r="G576" s="1854" t="s">
        <v>22</v>
      </c>
      <c r="H576" s="1854" t="s">
        <v>22</v>
      </c>
      <c r="I576" s="1854" t="s">
        <v>1158</v>
      </c>
    </row>
    <row customHeight="1" ht="11.25">
      <c r="A577" s="1854" t="s">
        <v>2542</v>
      </c>
      <c r="B577" s="1854" t="s">
        <v>16</v>
      </c>
      <c r="C577" s="1854" t="s">
        <v>3794</v>
      </c>
      <c r="D577" s="1854" t="s">
        <v>3795</v>
      </c>
      <c r="E577" s="1854" t="s">
        <v>3796</v>
      </c>
      <c r="F577" s="1854" t="s">
        <v>2550</v>
      </c>
      <c r="G577" s="1854" t="s">
        <v>3797</v>
      </c>
      <c r="H577" s="1854" t="s">
        <v>22</v>
      </c>
      <c r="I577" s="1854" t="s">
        <v>1158</v>
      </c>
    </row>
    <row customHeight="1" ht="11.25">
      <c r="A578" s="1854" t="s">
        <v>2542</v>
      </c>
      <c r="B578" s="1854" t="s">
        <v>16</v>
      </c>
      <c r="C578" s="1854" t="s">
        <v>3798</v>
      </c>
      <c r="D578" s="1854" t="s">
        <v>3799</v>
      </c>
      <c r="E578" s="1854" t="s">
        <v>3800</v>
      </c>
      <c r="F578" s="1854" t="s">
        <v>2591</v>
      </c>
      <c r="G578" s="1854" t="s">
        <v>22</v>
      </c>
      <c r="H578" s="1854" t="s">
        <v>22</v>
      </c>
      <c r="I578" s="1854" t="s">
        <v>1158</v>
      </c>
    </row>
    <row customHeight="1" ht="11.25">
      <c r="A579" s="1854" t="s">
        <v>2542</v>
      </c>
      <c r="B579" s="1854" t="s">
        <v>16</v>
      </c>
      <c r="C579" s="1854" t="s">
        <v>3810</v>
      </c>
      <c r="D579" s="1854" t="s">
        <v>3811</v>
      </c>
      <c r="E579" s="1854" t="s">
        <v>3812</v>
      </c>
      <c r="F579" s="1854" t="s">
        <v>2767</v>
      </c>
      <c r="G579" s="1854" t="s">
        <v>22</v>
      </c>
      <c r="H579" s="1854" t="s">
        <v>22</v>
      </c>
      <c r="I579" s="1854" t="s">
        <v>1158</v>
      </c>
    </row>
    <row customHeight="1" ht="11.25">
      <c r="A580" s="1854" t="s">
        <v>2542</v>
      </c>
      <c r="B580" s="1854" t="s">
        <v>16</v>
      </c>
      <c r="C580" s="1854" t="s">
        <v>3816</v>
      </c>
      <c r="D580" s="1854" t="s">
        <v>3817</v>
      </c>
      <c r="E580" s="1854" t="s">
        <v>3818</v>
      </c>
      <c r="F580" s="1854" t="s">
        <v>2679</v>
      </c>
      <c r="G580" s="1854" t="s">
        <v>22</v>
      </c>
      <c r="H580" s="1854" t="s">
        <v>22</v>
      </c>
      <c r="I580" s="1854" t="s">
        <v>1158</v>
      </c>
    </row>
    <row customHeight="1" ht="11.25">
      <c r="A581" s="1854" t="s">
        <v>2542</v>
      </c>
      <c r="B581" s="1854" t="s">
        <v>16</v>
      </c>
      <c r="C581" s="1854" t="s">
        <v>3819</v>
      </c>
      <c r="D581" s="1854" t="s">
        <v>3820</v>
      </c>
      <c r="E581" s="1854" t="s">
        <v>3821</v>
      </c>
      <c r="F581" s="1854" t="s">
        <v>2767</v>
      </c>
      <c r="G581" s="1854" t="s">
        <v>22</v>
      </c>
      <c r="H581" s="1854" t="s">
        <v>22</v>
      </c>
      <c r="I581" s="1854" t="s">
        <v>1158</v>
      </c>
    </row>
    <row customHeight="1" ht="11.25">
      <c r="A582" s="1854" t="s">
        <v>2542</v>
      </c>
      <c r="B582" s="1854" t="s">
        <v>16</v>
      </c>
      <c r="C582" s="1854" t="s">
        <v>3825</v>
      </c>
      <c r="D582" s="1854" t="s">
        <v>3826</v>
      </c>
      <c r="E582" s="1854" t="s">
        <v>3827</v>
      </c>
      <c r="F582" s="1854" t="s">
        <v>3102</v>
      </c>
      <c r="G582" s="1854" t="s">
        <v>22</v>
      </c>
      <c r="H582" s="1854" t="s">
        <v>22</v>
      </c>
      <c r="I582" s="1854" t="s">
        <v>1158</v>
      </c>
    </row>
    <row customHeight="1" ht="11.25">
      <c r="A583" s="1854" t="s">
        <v>2542</v>
      </c>
      <c r="B583" s="1854" t="s">
        <v>16</v>
      </c>
      <c r="C583" s="1854" t="s">
        <v>3828</v>
      </c>
      <c r="D583" s="1854" t="s">
        <v>3829</v>
      </c>
      <c r="E583" s="1854" t="s">
        <v>3830</v>
      </c>
      <c r="F583" s="1854" t="s">
        <v>2550</v>
      </c>
      <c r="G583" s="1854" t="s">
        <v>3831</v>
      </c>
      <c r="H583" s="1854" t="s">
        <v>22</v>
      </c>
      <c r="I583" s="1854" t="s">
        <v>1158</v>
      </c>
    </row>
    <row customHeight="1" ht="11.25">
      <c r="A584" s="1854" t="s">
        <v>2542</v>
      </c>
      <c r="B584" s="1854" t="s">
        <v>16</v>
      </c>
      <c r="C584" s="1854" t="s">
        <v>3841</v>
      </c>
      <c r="D584" s="1854" t="s">
        <v>3842</v>
      </c>
      <c r="E584" s="1854" t="s">
        <v>2594</v>
      </c>
      <c r="F584" s="1854" t="s">
        <v>3843</v>
      </c>
      <c r="G584" s="1854" t="s">
        <v>22</v>
      </c>
      <c r="H584" s="1854" t="s">
        <v>22</v>
      </c>
      <c r="I584" s="1854" t="s">
        <v>1158</v>
      </c>
    </row>
    <row customHeight="1" ht="11.25">
      <c r="A585" s="1854" t="s">
        <v>2542</v>
      </c>
      <c r="B585" s="1854" t="s">
        <v>16</v>
      </c>
      <c r="C585" s="1854" t="s">
        <v>3867</v>
      </c>
      <c r="D585" s="1854" t="s">
        <v>3868</v>
      </c>
      <c r="E585" s="1854" t="s">
        <v>3869</v>
      </c>
      <c r="F585" s="1854" t="s">
        <v>2599</v>
      </c>
      <c r="G585" s="1854" t="s">
        <v>22</v>
      </c>
      <c r="H585" s="1854" t="s">
        <v>22</v>
      </c>
      <c r="I585" s="1854" t="s">
        <v>1158</v>
      </c>
    </row>
    <row customHeight="1" ht="11.25">
      <c r="A586" s="1854" t="s">
        <v>2542</v>
      </c>
      <c r="B586" s="1854" t="s">
        <v>16</v>
      </c>
      <c r="C586" s="1854" t="s">
        <v>3882</v>
      </c>
      <c r="D586" s="1854" t="s">
        <v>3883</v>
      </c>
      <c r="E586" s="1854" t="s">
        <v>3884</v>
      </c>
      <c r="F586" s="1854" t="s">
        <v>2743</v>
      </c>
      <c r="G586" s="1854" t="s">
        <v>22</v>
      </c>
      <c r="H586" s="1854" t="s">
        <v>22</v>
      </c>
      <c r="I586" s="1854" t="s">
        <v>1158</v>
      </c>
    </row>
    <row customHeight="1" ht="11.25">
      <c r="A587" s="1854" t="s">
        <v>2542</v>
      </c>
      <c r="B587" s="1854" t="s">
        <v>16</v>
      </c>
      <c r="C587" s="1854" t="s">
        <v>22</v>
      </c>
      <c r="D587" s="1854" t="s">
        <v>3888</v>
      </c>
      <c r="E587" s="1854" t="s">
        <v>3889</v>
      </c>
      <c r="F587" s="1854" t="s">
        <v>2550</v>
      </c>
      <c r="G587" s="1854" t="s">
        <v>22</v>
      </c>
      <c r="H587" s="1854" t="s">
        <v>22</v>
      </c>
      <c r="I587" s="1854" t="s">
        <v>1158</v>
      </c>
    </row>
    <row customHeight="1" ht="11.25">
      <c r="A588" s="1854" t="s">
        <v>2542</v>
      </c>
      <c r="B588" s="1854" t="s">
        <v>16</v>
      </c>
      <c r="C588" s="1854" t="s">
        <v>3900</v>
      </c>
      <c r="D588" s="1854" t="s">
        <v>3901</v>
      </c>
      <c r="E588" s="1854" t="s">
        <v>3902</v>
      </c>
      <c r="F588" s="1854" t="s">
        <v>2550</v>
      </c>
      <c r="G588" s="1854" t="s">
        <v>22</v>
      </c>
      <c r="H588" s="1854" t="s">
        <v>22</v>
      </c>
      <c r="I588" s="1854" t="s">
        <v>1158</v>
      </c>
    </row>
    <row customHeight="1" ht="11.25">
      <c r="A589" s="1854" t="s">
        <v>2542</v>
      </c>
      <c r="B589" s="1854" t="s">
        <v>16</v>
      </c>
      <c r="C589" s="1854" t="s">
        <v>3909</v>
      </c>
      <c r="D589" s="1854" t="s">
        <v>3910</v>
      </c>
      <c r="E589" s="1854" t="s">
        <v>3911</v>
      </c>
      <c r="F589" s="1854" t="s">
        <v>3843</v>
      </c>
      <c r="G589" s="1854" t="s">
        <v>22</v>
      </c>
      <c r="H589" s="1854" t="s">
        <v>22</v>
      </c>
      <c r="I589" s="1854" t="s">
        <v>1158</v>
      </c>
    </row>
    <row customHeight="1" ht="11.25">
      <c r="A590" s="1854" t="s">
        <v>2542</v>
      </c>
      <c r="B590" s="1854" t="s">
        <v>16</v>
      </c>
      <c r="C590" s="1854" t="s">
        <v>3912</v>
      </c>
      <c r="D590" s="1854" t="s">
        <v>3910</v>
      </c>
      <c r="E590" s="1854" t="s">
        <v>3911</v>
      </c>
      <c r="F590" s="1854" t="s">
        <v>2725</v>
      </c>
      <c r="G590" s="1854" t="s">
        <v>22</v>
      </c>
      <c r="H590" s="1854" t="s">
        <v>22</v>
      </c>
      <c r="I590" s="1854" t="s">
        <v>1158</v>
      </c>
    </row>
    <row customHeight="1" ht="11.25">
      <c r="A591" s="1854" t="s">
        <v>2542</v>
      </c>
      <c r="B591" s="1854" t="s">
        <v>16</v>
      </c>
      <c r="C591" s="1854" t="s">
        <v>3920</v>
      </c>
      <c r="D591" s="1854" t="s">
        <v>3921</v>
      </c>
      <c r="E591" s="1854" t="s">
        <v>3922</v>
      </c>
      <c r="F591" s="1854" t="s">
        <v>2606</v>
      </c>
      <c r="G591" s="1854" t="s">
        <v>22</v>
      </c>
      <c r="H591" s="1854" t="s">
        <v>22</v>
      </c>
      <c r="I591" s="1854" t="s">
        <v>1158</v>
      </c>
    </row>
    <row customHeight="1" ht="11.25">
      <c r="A592" s="1854" t="s">
        <v>2542</v>
      </c>
      <c r="B592" s="1854" t="s">
        <v>16</v>
      </c>
      <c r="C592" s="1854" t="s">
        <v>3943</v>
      </c>
      <c r="D592" s="1854" t="s">
        <v>3944</v>
      </c>
      <c r="E592" s="1854" t="s">
        <v>3945</v>
      </c>
      <c r="F592" s="1854" t="s">
        <v>2940</v>
      </c>
      <c r="G592" s="1854" t="s">
        <v>22</v>
      </c>
      <c r="H592" s="1854" t="s">
        <v>22</v>
      </c>
      <c r="I592" s="1854" t="s">
        <v>1158</v>
      </c>
    </row>
    <row customHeight="1" ht="11.25">
      <c r="A593" s="1854" t="s">
        <v>2542</v>
      </c>
      <c r="B593" s="1854" t="s">
        <v>16</v>
      </c>
      <c r="C593" s="1854" t="s">
        <v>3946</v>
      </c>
      <c r="D593" s="1854" t="s">
        <v>3947</v>
      </c>
      <c r="E593" s="1854" t="s">
        <v>3948</v>
      </c>
      <c r="F593" s="1854" t="s">
        <v>2925</v>
      </c>
      <c r="G593" s="1854" t="s">
        <v>3949</v>
      </c>
      <c r="H593" s="1854" t="s">
        <v>22</v>
      </c>
      <c r="I593" s="1854" t="s">
        <v>1158</v>
      </c>
    </row>
    <row customHeight="1" ht="11.25">
      <c r="A594" s="1854" t="s">
        <v>2542</v>
      </c>
      <c r="B594" s="1854" t="s">
        <v>16</v>
      </c>
      <c r="C594" s="1854" t="s">
        <v>3953</v>
      </c>
      <c r="D594" s="1854" t="s">
        <v>3954</v>
      </c>
      <c r="E594" s="1854" t="s">
        <v>3955</v>
      </c>
      <c r="F594" s="1854" t="s">
        <v>3596</v>
      </c>
      <c r="G594" s="1854" t="s">
        <v>22</v>
      </c>
      <c r="H594" s="1854" t="s">
        <v>22</v>
      </c>
      <c r="I594" s="1854" t="s">
        <v>1158</v>
      </c>
    </row>
    <row customHeight="1" ht="11.25">
      <c r="A595" s="1854" t="s">
        <v>2542</v>
      </c>
      <c r="B595" s="1854" t="s">
        <v>16</v>
      </c>
      <c r="C595" s="1854" t="s">
        <v>3956</v>
      </c>
      <c r="D595" s="1854" t="s">
        <v>3957</v>
      </c>
      <c r="E595" s="1854" t="s">
        <v>3958</v>
      </c>
      <c r="F595" s="1854" t="s">
        <v>3959</v>
      </c>
      <c r="G595" s="1854" t="s">
        <v>22</v>
      </c>
      <c r="H595" s="1854" t="s">
        <v>22</v>
      </c>
      <c r="I595" s="1854" t="s">
        <v>1158</v>
      </c>
    </row>
    <row customHeight="1" ht="11.25">
      <c r="A596" s="1854" t="s">
        <v>2542</v>
      </c>
      <c r="B596" s="1854" t="s">
        <v>16</v>
      </c>
      <c r="C596" s="1854" t="s">
        <v>3960</v>
      </c>
      <c r="D596" s="1854" t="s">
        <v>3961</v>
      </c>
      <c r="E596" s="1854" t="s">
        <v>2545</v>
      </c>
      <c r="F596" s="1854" t="s">
        <v>3962</v>
      </c>
      <c r="G596" s="1854" t="s">
        <v>22</v>
      </c>
      <c r="H596" s="1854" t="s">
        <v>22</v>
      </c>
      <c r="I596" s="1854" t="s">
        <v>1158</v>
      </c>
    </row>
    <row customHeight="1" ht="11.25">
      <c r="A597" s="1854" t="s">
        <v>2542</v>
      </c>
      <c r="B597" s="1854" t="s">
        <v>16</v>
      </c>
      <c r="C597" s="1854" t="s">
        <v>3976</v>
      </c>
      <c r="D597" s="1854" t="s">
        <v>3977</v>
      </c>
      <c r="E597" s="1854" t="s">
        <v>3978</v>
      </c>
      <c r="F597" s="1854" t="s">
        <v>3979</v>
      </c>
      <c r="G597" s="1854" t="s">
        <v>22</v>
      </c>
      <c r="H597" s="1854" t="s">
        <v>22</v>
      </c>
      <c r="I597" s="1854" t="s">
        <v>1118</v>
      </c>
    </row>
    <row customHeight="1" ht="11.25">
      <c r="A598" s="1854" t="s">
        <v>2542</v>
      </c>
      <c r="B598" s="1854" t="s">
        <v>16</v>
      </c>
      <c r="C598" s="1854" t="s">
        <v>2570</v>
      </c>
      <c r="D598" s="1854" t="s">
        <v>2571</v>
      </c>
      <c r="E598" s="1854" t="s">
        <v>2572</v>
      </c>
      <c r="F598" s="1854" t="s">
        <v>2573</v>
      </c>
      <c r="G598" s="1854" t="s">
        <v>22</v>
      </c>
      <c r="H598" s="1854" t="s">
        <v>22</v>
      </c>
      <c r="I598" s="1854" t="s">
        <v>1118</v>
      </c>
    </row>
    <row customHeight="1" ht="11.25">
      <c r="A599" s="1854" t="s">
        <v>2542</v>
      </c>
      <c r="B599" s="1854" t="s">
        <v>16</v>
      </c>
      <c r="C599" s="1854" t="s">
        <v>3980</v>
      </c>
      <c r="D599" s="1854" t="s">
        <v>3981</v>
      </c>
      <c r="E599" s="1854" t="s">
        <v>3982</v>
      </c>
      <c r="F599" s="1854" t="s">
        <v>2573</v>
      </c>
      <c r="G599" s="1854" t="s">
        <v>22</v>
      </c>
      <c r="H599" s="1854" t="s">
        <v>22</v>
      </c>
      <c r="I599" s="1854" t="s">
        <v>1118</v>
      </c>
    </row>
    <row customHeight="1" ht="11.25">
      <c r="A600" s="1854" t="s">
        <v>2542</v>
      </c>
      <c r="B600" s="1854" t="s">
        <v>16</v>
      </c>
      <c r="C600" s="1854" t="s">
        <v>2574</v>
      </c>
      <c r="D600" s="1854" t="s">
        <v>2575</v>
      </c>
      <c r="E600" s="1854" t="s">
        <v>2576</v>
      </c>
      <c r="F600" s="1854" t="s">
        <v>2577</v>
      </c>
      <c r="G600" s="1854" t="s">
        <v>22</v>
      </c>
      <c r="H600" s="1854" t="s">
        <v>22</v>
      </c>
      <c r="I600" s="1854" t="s">
        <v>1118</v>
      </c>
    </row>
    <row customHeight="1" ht="11.25">
      <c r="A601" s="1854" t="s">
        <v>2542</v>
      </c>
      <c r="B601" s="1854" t="s">
        <v>16</v>
      </c>
      <c r="C601" s="1854" t="s">
        <v>3983</v>
      </c>
      <c r="D601" s="1854" t="s">
        <v>3984</v>
      </c>
      <c r="E601" s="1854" t="s">
        <v>3985</v>
      </c>
      <c r="F601" s="1854" t="s">
        <v>2577</v>
      </c>
      <c r="G601" s="1854" t="s">
        <v>22</v>
      </c>
      <c r="H601" s="1854" t="s">
        <v>22</v>
      </c>
      <c r="I601" s="1854" t="s">
        <v>1118</v>
      </c>
    </row>
    <row customHeight="1" ht="11.25">
      <c r="A602" s="1854" t="s">
        <v>2542</v>
      </c>
      <c r="B602" s="1854" t="s">
        <v>16</v>
      </c>
      <c r="C602" s="1854" t="s">
        <v>2588</v>
      </c>
      <c r="D602" s="1854" t="s">
        <v>2589</v>
      </c>
      <c r="E602" s="1854" t="s">
        <v>2590</v>
      </c>
      <c r="F602" s="1854" t="s">
        <v>2591</v>
      </c>
      <c r="G602" s="1854" t="s">
        <v>22</v>
      </c>
      <c r="H602" s="1854" t="s">
        <v>22</v>
      </c>
      <c r="I602" s="1854" t="s">
        <v>1118</v>
      </c>
    </row>
    <row customHeight="1" ht="11.25">
      <c r="A603" s="1854" t="s">
        <v>2542</v>
      </c>
      <c r="B603" s="1854" t="s">
        <v>16</v>
      </c>
      <c r="C603" s="1854" t="s">
        <v>3986</v>
      </c>
      <c r="D603" s="1854" t="s">
        <v>2593</v>
      </c>
      <c r="E603" s="1854" t="s">
        <v>2594</v>
      </c>
      <c r="F603" s="1854" t="s">
        <v>3987</v>
      </c>
      <c r="G603" s="1854" t="s">
        <v>3988</v>
      </c>
      <c r="H603" s="1854" t="s">
        <v>22</v>
      </c>
      <c r="I603" s="1854" t="s">
        <v>1118</v>
      </c>
    </row>
    <row customHeight="1" ht="11.25">
      <c r="A604" s="1854" t="s">
        <v>2542</v>
      </c>
      <c r="B604" s="1854" t="s">
        <v>16</v>
      </c>
      <c r="C604" s="1854" t="s">
        <v>3989</v>
      </c>
      <c r="D604" s="1854" t="s">
        <v>3990</v>
      </c>
      <c r="E604" s="1854" t="s">
        <v>3991</v>
      </c>
      <c r="F604" s="1854" t="s">
        <v>2606</v>
      </c>
      <c r="G604" s="1854" t="s">
        <v>22</v>
      </c>
      <c r="H604" s="1854" t="s">
        <v>22</v>
      </c>
      <c r="I604" s="1854" t="s">
        <v>1118</v>
      </c>
    </row>
    <row customHeight="1" ht="11.25">
      <c r="A605" s="1854" t="s">
        <v>2542</v>
      </c>
      <c r="B605" s="1854" t="s">
        <v>16</v>
      </c>
      <c r="C605" s="1854" t="s">
        <v>2600</v>
      </c>
      <c r="D605" s="1854" t="s">
        <v>2601</v>
      </c>
      <c r="E605" s="1854" t="s">
        <v>2602</v>
      </c>
      <c r="F605" s="1854" t="s">
        <v>2577</v>
      </c>
      <c r="G605" s="1854" t="s">
        <v>22</v>
      </c>
      <c r="H605" s="1854" t="s">
        <v>22</v>
      </c>
      <c r="I605" s="1854" t="s">
        <v>1118</v>
      </c>
    </row>
    <row customHeight="1" ht="11.25">
      <c r="A606" s="1854" t="s">
        <v>2542</v>
      </c>
      <c r="B606" s="1854" t="s">
        <v>16</v>
      </c>
      <c r="C606" s="1854" t="s">
        <v>2603</v>
      </c>
      <c r="D606" s="1854" t="s">
        <v>2604</v>
      </c>
      <c r="E606" s="1854" t="s">
        <v>2605</v>
      </c>
      <c r="F606" s="1854" t="s">
        <v>2606</v>
      </c>
      <c r="G606" s="1854" t="s">
        <v>22</v>
      </c>
      <c r="H606" s="1854" t="s">
        <v>22</v>
      </c>
      <c r="I606" s="1854" t="s">
        <v>1118</v>
      </c>
    </row>
    <row customHeight="1" ht="11.25">
      <c r="A607" s="1854" t="s">
        <v>2542</v>
      </c>
      <c r="B607" s="1854" t="s">
        <v>16</v>
      </c>
      <c r="C607" s="1854" t="s">
        <v>2611</v>
      </c>
      <c r="D607" s="1854" t="s">
        <v>2612</v>
      </c>
      <c r="E607" s="1854" t="s">
        <v>2613</v>
      </c>
      <c r="F607" s="1854" t="s">
        <v>2606</v>
      </c>
      <c r="G607" s="1854" t="s">
        <v>22</v>
      </c>
      <c r="H607" s="1854" t="s">
        <v>22</v>
      </c>
      <c r="I607" s="1854" t="s">
        <v>1118</v>
      </c>
    </row>
    <row customHeight="1" ht="11.25">
      <c r="A608" s="1854" t="s">
        <v>2542</v>
      </c>
      <c r="B608" s="1854" t="s">
        <v>16</v>
      </c>
      <c r="C608" s="1854" t="s">
        <v>2614</v>
      </c>
      <c r="D608" s="1854" t="s">
        <v>2615</v>
      </c>
      <c r="E608" s="1854" t="s">
        <v>2616</v>
      </c>
      <c r="F608" s="1854" t="s">
        <v>2573</v>
      </c>
      <c r="G608" s="1854" t="s">
        <v>22</v>
      </c>
      <c r="H608" s="1854" t="s">
        <v>22</v>
      </c>
      <c r="I608" s="1854" t="s">
        <v>1118</v>
      </c>
    </row>
    <row customHeight="1" ht="11.25">
      <c r="A609" s="1854" t="s">
        <v>2542</v>
      </c>
      <c r="B609" s="1854" t="s">
        <v>16</v>
      </c>
      <c r="C609" s="1854" t="s">
        <v>3992</v>
      </c>
      <c r="D609" s="1854" t="s">
        <v>3993</v>
      </c>
      <c r="E609" s="1854" t="s">
        <v>3994</v>
      </c>
      <c r="F609" s="1854" t="s">
        <v>2767</v>
      </c>
      <c r="G609" s="1854" t="s">
        <v>22</v>
      </c>
      <c r="H609" s="1854" t="s">
        <v>22</v>
      </c>
      <c r="I609" s="1854" t="s">
        <v>1118</v>
      </c>
    </row>
    <row customHeight="1" ht="11.25">
      <c r="A610" s="1854" t="s">
        <v>2542</v>
      </c>
      <c r="B610" s="1854" t="s">
        <v>16</v>
      </c>
      <c r="C610" s="1854" t="s">
        <v>3995</v>
      </c>
      <c r="D610" s="1854" t="s">
        <v>3996</v>
      </c>
      <c r="E610" s="1854" t="s">
        <v>3997</v>
      </c>
      <c r="F610" s="1854" t="s">
        <v>2665</v>
      </c>
      <c r="G610" s="1854" t="s">
        <v>22</v>
      </c>
      <c r="H610" s="1854" t="s">
        <v>22</v>
      </c>
      <c r="I610" s="1854" t="s">
        <v>1118</v>
      </c>
    </row>
    <row customHeight="1" ht="11.25">
      <c r="A611" s="1854" t="s">
        <v>2542</v>
      </c>
      <c r="B611" s="1854" t="s">
        <v>16</v>
      </c>
      <c r="C611" s="1854" t="s">
        <v>2625</v>
      </c>
      <c r="D611" s="1854" t="s">
        <v>2626</v>
      </c>
      <c r="E611" s="1854" t="s">
        <v>2627</v>
      </c>
      <c r="F611" s="1854" t="s">
        <v>2606</v>
      </c>
      <c r="G611" s="1854" t="s">
        <v>22</v>
      </c>
      <c r="H611" s="1854" t="s">
        <v>22</v>
      </c>
      <c r="I611" s="1854" t="s">
        <v>1118</v>
      </c>
    </row>
    <row customHeight="1" ht="11.25">
      <c r="A612" s="1854" t="s">
        <v>2542</v>
      </c>
      <c r="B612" s="1854" t="s">
        <v>16</v>
      </c>
      <c r="C612" s="1854" t="s">
        <v>2635</v>
      </c>
      <c r="D612" s="1854" t="s">
        <v>2636</v>
      </c>
      <c r="E612" s="1854" t="s">
        <v>2637</v>
      </c>
      <c r="F612" s="1854" t="s">
        <v>2573</v>
      </c>
      <c r="G612" s="1854" t="s">
        <v>22</v>
      </c>
      <c r="H612" s="1854" t="s">
        <v>22</v>
      </c>
      <c r="I612" s="1854" t="s">
        <v>1118</v>
      </c>
    </row>
    <row customHeight="1" ht="11.25">
      <c r="A613" s="1854" t="s">
        <v>2542</v>
      </c>
      <c r="B613" s="1854" t="s">
        <v>16</v>
      </c>
      <c r="C613" s="1854" t="s">
        <v>2638</v>
      </c>
      <c r="D613" s="1854" t="s">
        <v>2639</v>
      </c>
      <c r="E613" s="1854" t="s">
        <v>2640</v>
      </c>
      <c r="F613" s="1854" t="s">
        <v>2641</v>
      </c>
      <c r="G613" s="1854" t="s">
        <v>2642</v>
      </c>
      <c r="H613" s="1854" t="s">
        <v>22</v>
      </c>
      <c r="I613" s="1854" t="s">
        <v>1118</v>
      </c>
    </row>
    <row customHeight="1" ht="11.25">
      <c r="A614" s="1854" t="s">
        <v>2542</v>
      </c>
      <c r="B614" s="1854" t="s">
        <v>16</v>
      </c>
      <c r="C614" s="1854" t="s">
        <v>2653</v>
      </c>
      <c r="D614" s="1854" t="s">
        <v>2654</v>
      </c>
      <c r="E614" s="1854" t="s">
        <v>2655</v>
      </c>
      <c r="F614" s="1854" t="s">
        <v>2584</v>
      </c>
      <c r="G614" s="1854" t="s">
        <v>22</v>
      </c>
      <c r="H614" s="1854" t="s">
        <v>22</v>
      </c>
      <c r="I614" s="1854" t="s">
        <v>1118</v>
      </c>
    </row>
    <row customHeight="1" ht="11.25">
      <c r="A615" s="1854" t="s">
        <v>2542</v>
      </c>
      <c r="B615" s="1854" t="s">
        <v>16</v>
      </c>
      <c r="C615" s="1854" t="s">
        <v>2656</v>
      </c>
      <c r="D615" s="1854" t="s">
        <v>2657</v>
      </c>
      <c r="E615" s="1854" t="s">
        <v>2658</v>
      </c>
      <c r="F615" s="1854" t="s">
        <v>2610</v>
      </c>
      <c r="G615" s="1854" t="s">
        <v>22</v>
      </c>
      <c r="H615" s="1854" t="s">
        <v>22</v>
      </c>
      <c r="I615" s="1854" t="s">
        <v>1118</v>
      </c>
    </row>
    <row customHeight="1" ht="11.25">
      <c r="A616" s="1854" t="s">
        <v>2542</v>
      </c>
      <c r="B616" s="1854" t="s">
        <v>16</v>
      </c>
      <c r="C616" s="1854" t="s">
        <v>2662</v>
      </c>
      <c r="D616" s="1854" t="s">
        <v>2663</v>
      </c>
      <c r="E616" s="1854" t="s">
        <v>2664</v>
      </c>
      <c r="F616" s="1854" t="s">
        <v>2665</v>
      </c>
      <c r="G616" s="1854" t="s">
        <v>22</v>
      </c>
      <c r="H616" s="1854" t="s">
        <v>22</v>
      </c>
      <c r="I616" s="1854" t="s">
        <v>1118</v>
      </c>
    </row>
    <row customHeight="1" ht="11.25">
      <c r="A617" s="1854" t="s">
        <v>2542</v>
      </c>
      <c r="B617" s="1854" t="s">
        <v>16</v>
      </c>
      <c r="C617" s="1854" t="s">
        <v>3998</v>
      </c>
      <c r="D617" s="1854" t="s">
        <v>3999</v>
      </c>
      <c r="E617" s="1854" t="s">
        <v>4000</v>
      </c>
      <c r="F617" s="1854" t="s">
        <v>50</v>
      </c>
      <c r="G617" s="1854" t="s">
        <v>22</v>
      </c>
      <c r="H617" s="1854" t="s">
        <v>22</v>
      </c>
      <c r="I617" s="1854" t="s">
        <v>1118</v>
      </c>
    </row>
    <row customHeight="1" ht="11.25">
      <c r="A618" s="1854" t="s">
        <v>2542</v>
      </c>
      <c r="B618" s="1854" t="s">
        <v>16</v>
      </c>
      <c r="C618" s="1854" t="s">
        <v>2684</v>
      </c>
      <c r="D618" s="1854" t="s">
        <v>2685</v>
      </c>
      <c r="E618" s="1854" t="s">
        <v>2683</v>
      </c>
      <c r="F618" s="1854" t="s">
        <v>2686</v>
      </c>
      <c r="G618" s="1854" t="s">
        <v>22</v>
      </c>
      <c r="H618" s="1854" t="s">
        <v>22</v>
      </c>
      <c r="I618" s="1854" t="s">
        <v>1118</v>
      </c>
    </row>
    <row customHeight="1" ht="11.25">
      <c r="A619" s="1854" t="s">
        <v>2542</v>
      </c>
      <c r="B619" s="1854" t="s">
        <v>16</v>
      </c>
      <c r="C619" s="1854" t="s">
        <v>2693</v>
      </c>
      <c r="D619" s="1854" t="s">
        <v>2694</v>
      </c>
      <c r="E619" s="1854" t="s">
        <v>2683</v>
      </c>
      <c r="F619" s="1854" t="s">
        <v>2695</v>
      </c>
      <c r="G619" s="1854" t="s">
        <v>22</v>
      </c>
      <c r="H619" s="1854" t="s">
        <v>22</v>
      </c>
      <c r="I619" s="1854" t="s">
        <v>1118</v>
      </c>
    </row>
    <row customHeight="1" ht="11.25">
      <c r="A620" s="1854" t="s">
        <v>2542</v>
      </c>
      <c r="B620" s="1854" t="s">
        <v>16</v>
      </c>
      <c r="C620" s="1854" t="s">
        <v>2699</v>
      </c>
      <c r="D620" s="1854" t="s">
        <v>2700</v>
      </c>
      <c r="E620" s="1854" t="s">
        <v>2683</v>
      </c>
      <c r="F620" s="1854" t="s">
        <v>2701</v>
      </c>
      <c r="G620" s="1854" t="s">
        <v>22</v>
      </c>
      <c r="H620" s="1854" t="s">
        <v>22</v>
      </c>
      <c r="I620" s="1854" t="s">
        <v>1118</v>
      </c>
    </row>
    <row customHeight="1" ht="11.25">
      <c r="A621" s="1854" t="s">
        <v>2542</v>
      </c>
      <c r="B621" s="1854" t="s">
        <v>16</v>
      </c>
      <c r="C621" s="1854" t="s">
        <v>4001</v>
      </c>
      <c r="D621" s="1854" t="s">
        <v>4002</v>
      </c>
      <c r="E621" s="1854" t="s">
        <v>4003</v>
      </c>
      <c r="F621" s="1854" t="s">
        <v>2591</v>
      </c>
      <c r="G621" s="1854" t="s">
        <v>22</v>
      </c>
      <c r="H621" s="1854" t="s">
        <v>22</v>
      </c>
      <c r="I621" s="1854" t="s">
        <v>1118</v>
      </c>
    </row>
    <row customHeight="1" ht="11.25">
      <c r="A622" s="1854" t="s">
        <v>2542</v>
      </c>
      <c r="B622" s="1854" t="s">
        <v>16</v>
      </c>
      <c r="C622" s="1854" t="s">
        <v>4004</v>
      </c>
      <c r="D622" s="1854" t="s">
        <v>4005</v>
      </c>
      <c r="E622" s="1854" t="s">
        <v>4006</v>
      </c>
      <c r="F622" s="1854" t="s">
        <v>4007</v>
      </c>
      <c r="G622" s="1854" t="s">
        <v>4008</v>
      </c>
      <c r="H622" s="1854" t="s">
        <v>22</v>
      </c>
      <c r="I622" s="1854" t="s">
        <v>1118</v>
      </c>
    </row>
    <row customHeight="1" ht="11.25">
      <c r="A623" s="1854" t="s">
        <v>2542</v>
      </c>
      <c r="B623" s="1854" t="s">
        <v>16</v>
      </c>
      <c r="C623" s="1854" t="s">
        <v>2730</v>
      </c>
      <c r="D623" s="1854" t="s">
        <v>2731</v>
      </c>
      <c r="E623" s="1854" t="s">
        <v>2732</v>
      </c>
      <c r="F623" s="1854" t="s">
        <v>2733</v>
      </c>
      <c r="G623" s="1854" t="s">
        <v>22</v>
      </c>
      <c r="H623" s="1854" t="s">
        <v>22</v>
      </c>
      <c r="I623" s="1854" t="s">
        <v>1118</v>
      </c>
    </row>
    <row customHeight="1" ht="11.25">
      <c r="A624" s="1854" t="s">
        <v>2542</v>
      </c>
      <c r="B624" s="1854" t="s">
        <v>16</v>
      </c>
      <c r="C624" s="1854" t="s">
        <v>2734</v>
      </c>
      <c r="D624" s="1854" t="s">
        <v>2735</v>
      </c>
      <c r="E624" s="1854" t="s">
        <v>2736</v>
      </c>
      <c r="F624" s="1854" t="s">
        <v>2558</v>
      </c>
      <c r="G624" s="1854" t="s">
        <v>22</v>
      </c>
      <c r="H624" s="1854" t="s">
        <v>22</v>
      </c>
      <c r="I624" s="1854" t="s">
        <v>1118</v>
      </c>
    </row>
    <row customHeight="1" ht="11.25">
      <c r="A625" s="1854" t="s">
        <v>2542</v>
      </c>
      <c r="B625" s="1854" t="s">
        <v>16</v>
      </c>
      <c r="C625" s="1854" t="s">
        <v>2744</v>
      </c>
      <c r="D625" s="1854" t="s">
        <v>2745</v>
      </c>
      <c r="E625" s="1854" t="s">
        <v>2746</v>
      </c>
      <c r="F625" s="1854" t="s">
        <v>2620</v>
      </c>
      <c r="G625" s="1854" t="s">
        <v>2747</v>
      </c>
      <c r="H625" s="1854" t="s">
        <v>22</v>
      </c>
      <c r="I625" s="1854" t="s">
        <v>1118</v>
      </c>
    </row>
    <row customHeight="1" ht="11.25">
      <c r="A626" s="1854" t="s">
        <v>2542</v>
      </c>
      <c r="B626" s="1854" t="s">
        <v>16</v>
      </c>
      <c r="C626" s="1854" t="s">
        <v>4009</v>
      </c>
      <c r="D626" s="1854" t="s">
        <v>4010</v>
      </c>
      <c r="E626" s="1854" t="s">
        <v>2857</v>
      </c>
      <c r="F626" s="1854" t="s">
        <v>2550</v>
      </c>
      <c r="G626" s="1854" t="s">
        <v>22</v>
      </c>
      <c r="H626" s="1854" t="s">
        <v>22</v>
      </c>
      <c r="I626" s="1854" t="s">
        <v>1118</v>
      </c>
    </row>
    <row customHeight="1" ht="11.25">
      <c r="A627" s="1854" t="s">
        <v>2542</v>
      </c>
      <c r="B627" s="1854" t="s">
        <v>16</v>
      </c>
      <c r="C627" s="1854" t="s">
        <v>4011</v>
      </c>
      <c r="D627" s="1854" t="s">
        <v>4012</v>
      </c>
      <c r="E627" s="1854" t="s">
        <v>4013</v>
      </c>
      <c r="F627" s="1854" t="s">
        <v>2577</v>
      </c>
      <c r="G627" s="1854" t="s">
        <v>22</v>
      </c>
      <c r="H627" s="1854" t="s">
        <v>22</v>
      </c>
      <c r="I627" s="1854" t="s">
        <v>1118</v>
      </c>
    </row>
    <row customHeight="1" ht="11.25">
      <c r="A628" s="1854" t="s">
        <v>2542</v>
      </c>
      <c r="B628" s="1854" t="s">
        <v>16</v>
      </c>
      <c r="C628" s="1854" t="s">
        <v>4014</v>
      </c>
      <c r="D628" s="1854" t="s">
        <v>4015</v>
      </c>
      <c r="E628" s="1854" t="s">
        <v>4016</v>
      </c>
      <c r="F628" s="1854" t="s">
        <v>2558</v>
      </c>
      <c r="G628" s="1854" t="s">
        <v>22</v>
      </c>
      <c r="H628" s="1854" t="s">
        <v>22</v>
      </c>
      <c r="I628" s="1854" t="s">
        <v>1118</v>
      </c>
    </row>
    <row customHeight="1" ht="11.25">
      <c r="A629" s="1854" t="s">
        <v>2542</v>
      </c>
      <c r="B629" s="1854" t="s">
        <v>16</v>
      </c>
      <c r="C629" s="1854" t="s">
        <v>2757</v>
      </c>
      <c r="D629" s="1854" t="s">
        <v>2758</v>
      </c>
      <c r="E629" s="1854" t="s">
        <v>2759</v>
      </c>
      <c r="F629" s="1854" t="s">
        <v>2743</v>
      </c>
      <c r="G629" s="1854" t="s">
        <v>22</v>
      </c>
      <c r="H629" s="1854" t="s">
        <v>22</v>
      </c>
      <c r="I629" s="1854" t="s">
        <v>1118</v>
      </c>
    </row>
    <row customHeight="1" ht="11.25">
      <c r="A630" s="1854" t="s">
        <v>2542</v>
      </c>
      <c r="B630" s="1854" t="s">
        <v>16</v>
      </c>
      <c r="C630" s="1854" t="s">
        <v>2764</v>
      </c>
      <c r="D630" s="1854" t="s">
        <v>2765</v>
      </c>
      <c r="E630" s="1854" t="s">
        <v>2766</v>
      </c>
      <c r="F630" s="1854" t="s">
        <v>2767</v>
      </c>
      <c r="G630" s="1854" t="s">
        <v>2768</v>
      </c>
      <c r="H630" s="1854" t="s">
        <v>22</v>
      </c>
      <c r="I630" s="1854" t="s">
        <v>1118</v>
      </c>
    </row>
    <row customHeight="1" ht="11.25">
      <c r="A631" s="1854" t="s">
        <v>2542</v>
      </c>
      <c r="B631" s="1854" t="s">
        <v>16</v>
      </c>
      <c r="C631" s="1854" t="s">
        <v>4017</v>
      </c>
      <c r="D631" s="1854" t="s">
        <v>4018</v>
      </c>
      <c r="E631" s="1854" t="s">
        <v>4019</v>
      </c>
      <c r="F631" s="1854" t="s">
        <v>4020</v>
      </c>
      <c r="G631" s="1854" t="s">
        <v>22</v>
      </c>
      <c r="H631" s="1854" t="s">
        <v>22</v>
      </c>
      <c r="I631" s="1854" t="s">
        <v>1118</v>
      </c>
    </row>
    <row customHeight="1" ht="11.25">
      <c r="A632" s="1854" t="s">
        <v>2542</v>
      </c>
      <c r="B632" s="1854" t="s">
        <v>16</v>
      </c>
      <c r="C632" s="1854" t="s">
        <v>4021</v>
      </c>
      <c r="D632" s="1854" t="s">
        <v>4022</v>
      </c>
      <c r="E632" s="1854" t="s">
        <v>4023</v>
      </c>
      <c r="F632" s="1854" t="s">
        <v>2801</v>
      </c>
      <c r="G632" s="1854" t="s">
        <v>22</v>
      </c>
      <c r="H632" s="1854" t="s">
        <v>22</v>
      </c>
      <c r="I632" s="1854" t="s">
        <v>1118</v>
      </c>
    </row>
    <row customHeight="1" ht="11.25">
      <c r="A633" s="1854" t="s">
        <v>2542</v>
      </c>
      <c r="B633" s="1854" t="s">
        <v>16</v>
      </c>
      <c r="C633" s="1854" t="s">
        <v>4024</v>
      </c>
      <c r="D633" s="1854" t="s">
        <v>4025</v>
      </c>
      <c r="E633" s="1854" t="s">
        <v>4026</v>
      </c>
      <c r="F633" s="1854" t="s">
        <v>2984</v>
      </c>
      <c r="G633" s="1854" t="s">
        <v>22</v>
      </c>
      <c r="H633" s="1854" t="s">
        <v>22</v>
      </c>
      <c r="I633" s="1854" t="s">
        <v>1118</v>
      </c>
    </row>
    <row customHeight="1" ht="11.25">
      <c r="A634" s="1854" t="s">
        <v>2542</v>
      </c>
      <c r="B634" s="1854" t="s">
        <v>16</v>
      </c>
      <c r="C634" s="1854" t="s">
        <v>2782</v>
      </c>
      <c r="D634" s="1854" t="s">
        <v>2783</v>
      </c>
      <c r="E634" s="1854" t="s">
        <v>2784</v>
      </c>
      <c r="F634" s="1854" t="s">
        <v>2785</v>
      </c>
      <c r="G634" s="1854" t="s">
        <v>2786</v>
      </c>
      <c r="H634" s="1854" t="s">
        <v>22</v>
      </c>
      <c r="I634" s="1854" t="s">
        <v>1118</v>
      </c>
    </row>
    <row customHeight="1" ht="11.25">
      <c r="A635" s="1854" t="s">
        <v>2542</v>
      </c>
      <c r="B635" s="1854" t="s">
        <v>16</v>
      </c>
      <c r="C635" s="1854" t="s">
        <v>2810</v>
      </c>
      <c r="D635" s="1854" t="s">
        <v>2811</v>
      </c>
      <c r="E635" s="1854" t="s">
        <v>2812</v>
      </c>
      <c r="F635" s="1854" t="s">
        <v>2813</v>
      </c>
      <c r="G635" s="1854" t="s">
        <v>22</v>
      </c>
      <c r="H635" s="1854" t="s">
        <v>22</v>
      </c>
      <c r="I635" s="1854" t="s">
        <v>1118</v>
      </c>
    </row>
    <row customHeight="1" ht="11.25">
      <c r="A636" s="1854" t="s">
        <v>2542</v>
      </c>
      <c r="B636" s="1854" t="s">
        <v>16</v>
      </c>
      <c r="C636" s="1854" t="s">
        <v>2814</v>
      </c>
      <c r="D636" s="1854" t="s">
        <v>2815</v>
      </c>
      <c r="E636" s="1854" t="s">
        <v>2816</v>
      </c>
      <c r="F636" s="1854" t="s">
        <v>2817</v>
      </c>
      <c r="G636" s="1854" t="s">
        <v>22</v>
      </c>
      <c r="H636" s="1854" t="s">
        <v>22</v>
      </c>
      <c r="I636" s="1854" t="s">
        <v>1118</v>
      </c>
    </row>
    <row customHeight="1" ht="11.25">
      <c r="A637" s="1854" t="s">
        <v>2542</v>
      </c>
      <c r="B637" s="1854" t="s">
        <v>16</v>
      </c>
      <c r="C637" s="1854" t="s">
        <v>2825</v>
      </c>
      <c r="D637" s="1854" t="s">
        <v>2826</v>
      </c>
      <c r="E637" s="1854" t="s">
        <v>2827</v>
      </c>
      <c r="F637" s="1854" t="s">
        <v>2828</v>
      </c>
      <c r="G637" s="1854" t="s">
        <v>22</v>
      </c>
      <c r="H637" s="1854" t="s">
        <v>22</v>
      </c>
      <c r="I637" s="1854" t="s">
        <v>1118</v>
      </c>
    </row>
    <row customHeight="1" ht="11.25">
      <c r="A638" s="1854" t="s">
        <v>2542</v>
      </c>
      <c r="B638" s="1854" t="s">
        <v>16</v>
      </c>
      <c r="C638" s="1854" t="s">
        <v>2832</v>
      </c>
      <c r="D638" s="1854" t="s">
        <v>2833</v>
      </c>
      <c r="E638" s="1854" t="s">
        <v>2834</v>
      </c>
      <c r="F638" s="1854" t="s">
        <v>2573</v>
      </c>
      <c r="G638" s="1854" t="s">
        <v>22</v>
      </c>
      <c r="H638" s="1854" t="s">
        <v>22</v>
      </c>
      <c r="I638" s="1854" t="s">
        <v>1118</v>
      </c>
    </row>
    <row customHeight="1" ht="11.25">
      <c r="A639" s="1854" t="s">
        <v>2542</v>
      </c>
      <c r="B639" s="1854" t="s">
        <v>16</v>
      </c>
      <c r="C639" s="1854" t="s">
        <v>2845</v>
      </c>
      <c r="D639" s="1854" t="s">
        <v>2846</v>
      </c>
      <c r="E639" s="1854" t="s">
        <v>2847</v>
      </c>
      <c r="F639" s="1854" t="s">
        <v>2679</v>
      </c>
      <c r="G639" s="1854" t="s">
        <v>22</v>
      </c>
      <c r="H639" s="1854" t="s">
        <v>22</v>
      </c>
      <c r="I639" s="1854" t="s">
        <v>1118</v>
      </c>
    </row>
    <row customHeight="1" ht="11.25">
      <c r="A640" s="1854" t="s">
        <v>2542</v>
      </c>
      <c r="B640" s="1854" t="s">
        <v>16</v>
      </c>
      <c r="C640" s="1854" t="s">
        <v>2851</v>
      </c>
      <c r="D640" s="1854" t="s">
        <v>2852</v>
      </c>
      <c r="E640" s="1854" t="s">
        <v>2853</v>
      </c>
      <c r="F640" s="1854" t="s">
        <v>2854</v>
      </c>
      <c r="G640" s="1854" t="s">
        <v>22</v>
      </c>
      <c r="H640" s="1854" t="s">
        <v>22</v>
      </c>
      <c r="I640" s="1854" t="s">
        <v>1118</v>
      </c>
    </row>
    <row customHeight="1" ht="11.25">
      <c r="A641" s="1854" t="s">
        <v>2542</v>
      </c>
      <c r="B641" s="1854" t="s">
        <v>16</v>
      </c>
      <c r="C641" s="1854" t="s">
        <v>2855</v>
      </c>
      <c r="D641" s="1854" t="s">
        <v>2856</v>
      </c>
      <c r="E641" s="1854" t="s">
        <v>2857</v>
      </c>
      <c r="F641" s="1854" t="s">
        <v>2858</v>
      </c>
      <c r="G641" s="1854" t="s">
        <v>22</v>
      </c>
      <c r="H641" s="1854" t="s">
        <v>22</v>
      </c>
      <c r="I641" s="1854" t="s">
        <v>1118</v>
      </c>
    </row>
    <row customHeight="1" ht="11.25">
      <c r="A642" s="1854" t="s">
        <v>2542</v>
      </c>
      <c r="B642" s="1854" t="s">
        <v>16</v>
      </c>
      <c r="C642" s="1854" t="s">
        <v>2862</v>
      </c>
      <c r="D642" s="1854" t="s">
        <v>2863</v>
      </c>
      <c r="E642" s="1854" t="s">
        <v>2864</v>
      </c>
      <c r="F642" s="1854" t="s">
        <v>2785</v>
      </c>
      <c r="G642" s="1854" t="s">
        <v>22</v>
      </c>
      <c r="H642" s="1854" t="s">
        <v>22</v>
      </c>
      <c r="I642" s="1854" t="s">
        <v>1118</v>
      </c>
    </row>
    <row customHeight="1" ht="11.25">
      <c r="A643" s="1854" t="s">
        <v>2542</v>
      </c>
      <c r="B643" s="1854" t="s">
        <v>16</v>
      </c>
      <c r="C643" s="1854" t="s">
        <v>2868</v>
      </c>
      <c r="D643" s="1854" t="s">
        <v>2869</v>
      </c>
      <c r="E643" s="1854" t="s">
        <v>2870</v>
      </c>
      <c r="F643" s="1854" t="s">
        <v>2828</v>
      </c>
      <c r="G643" s="1854" t="s">
        <v>22</v>
      </c>
      <c r="H643" s="1854" t="s">
        <v>22</v>
      </c>
      <c r="I643" s="1854" t="s">
        <v>1118</v>
      </c>
    </row>
    <row customHeight="1" ht="11.25">
      <c r="A644" s="1854" t="s">
        <v>2542</v>
      </c>
      <c r="B644" s="1854" t="s">
        <v>16</v>
      </c>
      <c r="C644" s="1854" t="s">
        <v>4027</v>
      </c>
      <c r="D644" s="1854" t="s">
        <v>4028</v>
      </c>
      <c r="E644" s="1854" t="s">
        <v>4029</v>
      </c>
      <c r="F644" s="1854" t="s">
        <v>2558</v>
      </c>
      <c r="G644" s="1854" t="s">
        <v>22</v>
      </c>
      <c r="H644" s="1854" t="s">
        <v>22</v>
      </c>
      <c r="I644" s="1854" t="s">
        <v>1118</v>
      </c>
    </row>
    <row customHeight="1" ht="11.25">
      <c r="A645" s="1854" t="s">
        <v>2542</v>
      </c>
      <c r="B645" s="1854" t="s">
        <v>16</v>
      </c>
      <c r="C645" s="1854" t="s">
        <v>2874</v>
      </c>
      <c r="D645" s="1854" t="s">
        <v>2875</v>
      </c>
      <c r="E645" s="1854" t="s">
        <v>2876</v>
      </c>
      <c r="F645" s="1854" t="s">
        <v>2679</v>
      </c>
      <c r="G645" s="1854" t="s">
        <v>22</v>
      </c>
      <c r="H645" s="1854" t="s">
        <v>22</v>
      </c>
      <c r="I645" s="1854" t="s">
        <v>1118</v>
      </c>
    </row>
    <row customHeight="1" ht="11.25">
      <c r="A646" s="1854" t="s">
        <v>2542</v>
      </c>
      <c r="B646" s="1854" t="s">
        <v>16</v>
      </c>
      <c r="C646" s="1854" t="s">
        <v>2898</v>
      </c>
      <c r="D646" s="1854" t="s">
        <v>2899</v>
      </c>
      <c r="E646" s="1854" t="s">
        <v>2900</v>
      </c>
      <c r="F646" s="1854" t="s">
        <v>595</v>
      </c>
      <c r="G646" s="1854" t="s">
        <v>22</v>
      </c>
      <c r="H646" s="1854" t="s">
        <v>22</v>
      </c>
      <c r="I646" s="1854" t="s">
        <v>1118</v>
      </c>
    </row>
    <row customHeight="1" ht="11.25">
      <c r="A647" s="1854" t="s">
        <v>2542</v>
      </c>
      <c r="B647" s="1854" t="s">
        <v>16</v>
      </c>
      <c r="C647" s="1854" t="s">
        <v>2904</v>
      </c>
      <c r="D647" s="1854" t="s">
        <v>2905</v>
      </c>
      <c r="E647" s="1854" t="s">
        <v>2906</v>
      </c>
      <c r="F647" s="1854" t="s">
        <v>2907</v>
      </c>
      <c r="G647" s="1854" t="s">
        <v>22</v>
      </c>
      <c r="H647" s="1854" t="s">
        <v>22</v>
      </c>
      <c r="I647" s="1854" t="s">
        <v>1118</v>
      </c>
    </row>
    <row customHeight="1" ht="11.25">
      <c r="A648" s="1854" t="s">
        <v>2542</v>
      </c>
      <c r="B648" s="1854" t="s">
        <v>16</v>
      </c>
      <c r="C648" s="1854" t="s">
        <v>4030</v>
      </c>
      <c r="D648" s="1854" t="s">
        <v>4031</v>
      </c>
      <c r="E648" s="1854" t="s">
        <v>4032</v>
      </c>
      <c r="F648" s="1854" t="s">
        <v>2984</v>
      </c>
      <c r="G648" s="1854" t="s">
        <v>22</v>
      </c>
      <c r="H648" s="1854" t="s">
        <v>22</v>
      </c>
      <c r="I648" s="1854" t="s">
        <v>1118</v>
      </c>
    </row>
    <row customHeight="1" ht="11.25">
      <c r="A649" s="1854" t="s">
        <v>2542</v>
      </c>
      <c r="B649" s="1854" t="s">
        <v>16</v>
      </c>
      <c r="C649" s="1854" t="s">
        <v>2922</v>
      </c>
      <c r="D649" s="1854" t="s">
        <v>2923</v>
      </c>
      <c r="E649" s="1854" t="s">
        <v>2924</v>
      </c>
      <c r="F649" s="1854" t="s">
        <v>2925</v>
      </c>
      <c r="G649" s="1854" t="s">
        <v>2926</v>
      </c>
      <c r="H649" s="1854" t="s">
        <v>22</v>
      </c>
      <c r="I649" s="1854" t="s">
        <v>1118</v>
      </c>
    </row>
    <row customHeight="1" ht="11.25">
      <c r="A650" s="1854" t="s">
        <v>2542</v>
      </c>
      <c r="B650" s="1854" t="s">
        <v>16</v>
      </c>
      <c r="C650" s="1854" t="s">
        <v>4033</v>
      </c>
      <c r="D650" s="1854" t="s">
        <v>4034</v>
      </c>
      <c r="E650" s="1854" t="s">
        <v>4035</v>
      </c>
      <c r="F650" s="1854" t="s">
        <v>3402</v>
      </c>
      <c r="G650" s="1854" t="s">
        <v>22</v>
      </c>
      <c r="H650" s="1854" t="s">
        <v>22</v>
      </c>
      <c r="I650" s="1854" t="s">
        <v>1118</v>
      </c>
    </row>
    <row customHeight="1" ht="11.25">
      <c r="A651" s="1854" t="s">
        <v>2542</v>
      </c>
      <c r="B651" s="1854" t="s">
        <v>16</v>
      </c>
      <c r="C651" s="1854" t="s">
        <v>4036</v>
      </c>
      <c r="D651" s="1854" t="s">
        <v>4037</v>
      </c>
      <c r="E651" s="1854" t="s">
        <v>4038</v>
      </c>
      <c r="F651" s="1854" t="s">
        <v>3402</v>
      </c>
      <c r="G651" s="1854" t="s">
        <v>22</v>
      </c>
      <c r="H651" s="1854" t="s">
        <v>22</v>
      </c>
      <c r="I651" s="1854" t="s">
        <v>1118</v>
      </c>
    </row>
    <row customHeight="1" ht="11.25">
      <c r="A652" s="1854" t="s">
        <v>2542</v>
      </c>
      <c r="B652" s="1854" t="s">
        <v>16</v>
      </c>
      <c r="C652" s="1854" t="s">
        <v>4039</v>
      </c>
      <c r="D652" s="1854" t="s">
        <v>4040</v>
      </c>
      <c r="E652" s="1854" t="s">
        <v>4041</v>
      </c>
      <c r="F652" s="1854" t="s">
        <v>3402</v>
      </c>
      <c r="G652" s="1854" t="s">
        <v>22</v>
      </c>
      <c r="H652" s="1854" t="s">
        <v>22</v>
      </c>
      <c r="I652" s="1854" t="s">
        <v>1118</v>
      </c>
    </row>
    <row customHeight="1" ht="11.25">
      <c r="A653" s="1854" t="s">
        <v>2542</v>
      </c>
      <c r="B653" s="1854" t="s">
        <v>16</v>
      </c>
      <c r="C653" s="1854" t="s">
        <v>4042</v>
      </c>
      <c r="D653" s="1854" t="s">
        <v>4043</v>
      </c>
      <c r="E653" s="1854" t="s">
        <v>4044</v>
      </c>
      <c r="F653" s="1854" t="s">
        <v>3402</v>
      </c>
      <c r="G653" s="1854" t="s">
        <v>22</v>
      </c>
      <c r="H653" s="1854" t="s">
        <v>22</v>
      </c>
      <c r="I653" s="1854" t="s">
        <v>1118</v>
      </c>
    </row>
    <row customHeight="1" ht="11.25">
      <c r="A654" s="1854" t="s">
        <v>2542</v>
      </c>
      <c r="B654" s="1854" t="s">
        <v>16</v>
      </c>
      <c r="C654" s="1854" t="s">
        <v>4045</v>
      </c>
      <c r="D654" s="1854" t="s">
        <v>4046</v>
      </c>
      <c r="E654" s="1854" t="s">
        <v>4047</v>
      </c>
      <c r="F654" s="1854" t="s">
        <v>3402</v>
      </c>
      <c r="G654" s="1854" t="s">
        <v>22</v>
      </c>
      <c r="H654" s="1854" t="s">
        <v>22</v>
      </c>
      <c r="I654" s="1854" t="s">
        <v>1118</v>
      </c>
    </row>
    <row customHeight="1" ht="11.25">
      <c r="A655" s="1854" t="s">
        <v>2542</v>
      </c>
      <c r="B655" s="1854" t="s">
        <v>16</v>
      </c>
      <c r="C655" s="1854" t="s">
        <v>2937</v>
      </c>
      <c r="D655" s="1854" t="s">
        <v>2938</v>
      </c>
      <c r="E655" s="1854" t="s">
        <v>2939</v>
      </c>
      <c r="F655" s="1854" t="s">
        <v>2940</v>
      </c>
      <c r="G655" s="1854" t="s">
        <v>22</v>
      </c>
      <c r="H655" s="1854" t="s">
        <v>22</v>
      </c>
      <c r="I655" s="1854" t="s">
        <v>1118</v>
      </c>
    </row>
    <row customHeight="1" ht="11.25">
      <c r="A656" s="1854" t="s">
        <v>2542</v>
      </c>
      <c r="B656" s="1854" t="s">
        <v>16</v>
      </c>
      <c r="C656" s="1854" t="s">
        <v>4048</v>
      </c>
      <c r="D656" s="1854" t="s">
        <v>4049</v>
      </c>
      <c r="E656" s="1854" t="s">
        <v>4050</v>
      </c>
      <c r="F656" s="1854" t="s">
        <v>3302</v>
      </c>
      <c r="G656" s="1854" t="s">
        <v>4051</v>
      </c>
      <c r="H656" s="1854" t="s">
        <v>22</v>
      </c>
      <c r="I656" s="1854" t="s">
        <v>1118</v>
      </c>
    </row>
    <row customHeight="1" ht="11.25">
      <c r="A657" s="1854" t="s">
        <v>2542</v>
      </c>
      <c r="B657" s="1854" t="s">
        <v>16</v>
      </c>
      <c r="C657" s="1854" t="s">
        <v>4052</v>
      </c>
      <c r="D657" s="1854" t="s">
        <v>4049</v>
      </c>
      <c r="E657" s="1854" t="s">
        <v>4053</v>
      </c>
      <c r="F657" s="1854" t="s">
        <v>2966</v>
      </c>
      <c r="G657" s="1854" t="s">
        <v>22</v>
      </c>
      <c r="H657" s="1854" t="s">
        <v>22</v>
      </c>
      <c r="I657" s="1854" t="s">
        <v>1118</v>
      </c>
    </row>
    <row customHeight="1" ht="11.25">
      <c r="A658" s="1854" t="s">
        <v>2542</v>
      </c>
      <c r="B658" s="1854" t="s">
        <v>16</v>
      </c>
      <c r="C658" s="1854" t="s">
        <v>2941</v>
      </c>
      <c r="D658" s="1854" t="s">
        <v>2942</v>
      </c>
      <c r="E658" s="1854" t="s">
        <v>2943</v>
      </c>
      <c r="F658" s="1854" t="s">
        <v>2743</v>
      </c>
      <c r="G658" s="1854" t="s">
        <v>22</v>
      </c>
      <c r="H658" s="1854" t="s">
        <v>22</v>
      </c>
      <c r="I658" s="1854" t="s">
        <v>1118</v>
      </c>
    </row>
    <row customHeight="1" ht="11.25">
      <c r="A659" s="1854" t="s">
        <v>2542</v>
      </c>
      <c r="B659" s="1854" t="s">
        <v>16</v>
      </c>
      <c r="C659" s="1854" t="s">
        <v>4054</v>
      </c>
      <c r="D659" s="1854" t="s">
        <v>4055</v>
      </c>
      <c r="E659" s="1854" t="s">
        <v>4056</v>
      </c>
      <c r="F659" s="1854" t="s">
        <v>2953</v>
      </c>
      <c r="G659" s="1854" t="s">
        <v>22</v>
      </c>
      <c r="H659" s="1854" t="s">
        <v>22</v>
      </c>
      <c r="I659" s="1854" t="s">
        <v>1118</v>
      </c>
    </row>
    <row customHeight="1" ht="11.25">
      <c r="A660" s="1854" t="s">
        <v>2542</v>
      </c>
      <c r="B660" s="1854" t="s">
        <v>16</v>
      </c>
      <c r="C660" s="1854" t="s">
        <v>2944</v>
      </c>
      <c r="D660" s="1854" t="s">
        <v>2945</v>
      </c>
      <c r="E660" s="1854" t="s">
        <v>2946</v>
      </c>
      <c r="F660" s="1854" t="s">
        <v>2669</v>
      </c>
      <c r="G660" s="1854" t="s">
        <v>22</v>
      </c>
      <c r="H660" s="1854" t="s">
        <v>22</v>
      </c>
      <c r="I660" s="1854" t="s">
        <v>1118</v>
      </c>
    </row>
    <row customHeight="1" ht="11.25">
      <c r="A661" s="1854" t="s">
        <v>2542</v>
      </c>
      <c r="B661" s="1854" t="s">
        <v>16</v>
      </c>
      <c r="C661" s="1854" t="s">
        <v>2947</v>
      </c>
      <c r="D661" s="1854" t="s">
        <v>2948</v>
      </c>
      <c r="E661" s="1854" t="s">
        <v>2949</v>
      </c>
      <c r="F661" s="1854" t="s">
        <v>2743</v>
      </c>
      <c r="G661" s="1854" t="s">
        <v>22</v>
      </c>
      <c r="H661" s="1854" t="s">
        <v>22</v>
      </c>
      <c r="I661" s="1854" t="s">
        <v>1118</v>
      </c>
    </row>
    <row customHeight="1" ht="11.25">
      <c r="A662" s="1854" t="s">
        <v>2542</v>
      </c>
      <c r="B662" s="1854" t="s">
        <v>16</v>
      </c>
      <c r="C662" s="1854" t="s">
        <v>2950</v>
      </c>
      <c r="D662" s="1854" t="s">
        <v>2951</v>
      </c>
      <c r="E662" s="1854" t="s">
        <v>2952</v>
      </c>
      <c r="F662" s="1854" t="s">
        <v>2953</v>
      </c>
      <c r="G662" s="1854" t="s">
        <v>22</v>
      </c>
      <c r="H662" s="1854" t="s">
        <v>22</v>
      </c>
      <c r="I662" s="1854" t="s">
        <v>1118</v>
      </c>
    </row>
    <row customHeight="1" ht="11.25">
      <c r="A663" s="1854" t="s">
        <v>2542</v>
      </c>
      <c r="B663" s="1854" t="s">
        <v>16</v>
      </c>
      <c r="C663" s="1854" t="s">
        <v>2954</v>
      </c>
      <c r="D663" s="1854" t="s">
        <v>2955</v>
      </c>
      <c r="E663" s="1854" t="s">
        <v>2956</v>
      </c>
      <c r="F663" s="1854" t="s">
        <v>2573</v>
      </c>
      <c r="G663" s="1854" t="s">
        <v>22</v>
      </c>
      <c r="H663" s="1854" t="s">
        <v>22</v>
      </c>
      <c r="I663" s="1854" t="s">
        <v>1118</v>
      </c>
    </row>
    <row customHeight="1" ht="11.25">
      <c r="A664" s="1854" t="s">
        <v>2542</v>
      </c>
      <c r="B664" s="1854" t="s">
        <v>16</v>
      </c>
      <c r="C664" s="1854" t="s">
        <v>2957</v>
      </c>
      <c r="D664" s="1854" t="s">
        <v>2958</v>
      </c>
      <c r="E664" s="1854" t="s">
        <v>2959</v>
      </c>
      <c r="F664" s="1854" t="s">
        <v>2751</v>
      </c>
      <c r="G664" s="1854" t="s">
        <v>22</v>
      </c>
      <c r="H664" s="1854" t="s">
        <v>22</v>
      </c>
      <c r="I664" s="1854" t="s">
        <v>1118</v>
      </c>
    </row>
    <row customHeight="1" ht="11.25">
      <c r="A665" s="1854" t="s">
        <v>2542</v>
      </c>
      <c r="B665" s="1854" t="s">
        <v>16</v>
      </c>
      <c r="C665" s="1854" t="s">
        <v>2960</v>
      </c>
      <c r="D665" s="1854" t="s">
        <v>2961</v>
      </c>
      <c r="E665" s="1854" t="s">
        <v>2962</v>
      </c>
      <c r="F665" s="1854" t="s">
        <v>2953</v>
      </c>
      <c r="G665" s="1854" t="s">
        <v>22</v>
      </c>
      <c r="H665" s="1854" t="s">
        <v>22</v>
      </c>
      <c r="I665" s="1854" t="s">
        <v>1118</v>
      </c>
    </row>
    <row customHeight="1" ht="11.25">
      <c r="A666" s="1854" t="s">
        <v>2542</v>
      </c>
      <c r="B666" s="1854" t="s">
        <v>16</v>
      </c>
      <c r="C666" s="1854" t="s">
        <v>2970</v>
      </c>
      <c r="D666" s="1854" t="s">
        <v>2971</v>
      </c>
      <c r="E666" s="1854" t="s">
        <v>2972</v>
      </c>
      <c r="F666" s="1854" t="s">
        <v>2973</v>
      </c>
      <c r="G666" s="1854" t="s">
        <v>2974</v>
      </c>
      <c r="H666" s="1854" t="s">
        <v>22</v>
      </c>
      <c r="I666" s="1854" t="s">
        <v>1118</v>
      </c>
    </row>
    <row customHeight="1" ht="11.25">
      <c r="A667" s="1854" t="s">
        <v>2542</v>
      </c>
      <c r="B667" s="1854" t="s">
        <v>16</v>
      </c>
      <c r="C667" s="1854" t="s">
        <v>4057</v>
      </c>
      <c r="D667" s="1854" t="s">
        <v>4058</v>
      </c>
      <c r="E667" s="1854" t="s">
        <v>4059</v>
      </c>
      <c r="F667" s="1854" t="s">
        <v>4060</v>
      </c>
      <c r="G667" s="1854" t="s">
        <v>4061</v>
      </c>
      <c r="H667" s="1854" t="s">
        <v>22</v>
      </c>
      <c r="I667" s="1854" t="s">
        <v>1118</v>
      </c>
    </row>
    <row customHeight="1" ht="11.25">
      <c r="A668" s="1854" t="s">
        <v>2542</v>
      </c>
      <c r="B668" s="1854" t="s">
        <v>16</v>
      </c>
      <c r="C668" s="1854" t="s">
        <v>4062</v>
      </c>
      <c r="D668" s="1854" t="s">
        <v>4063</v>
      </c>
      <c r="E668" s="1854" t="s">
        <v>4064</v>
      </c>
      <c r="F668" s="1854" t="s">
        <v>2785</v>
      </c>
      <c r="G668" s="1854" t="s">
        <v>22</v>
      </c>
      <c r="H668" s="1854" t="s">
        <v>22</v>
      </c>
      <c r="I668" s="1854" t="s">
        <v>1118</v>
      </c>
    </row>
    <row customHeight="1" ht="11.25">
      <c r="A669" s="1854" t="s">
        <v>2542</v>
      </c>
      <c r="B669" s="1854" t="s">
        <v>16</v>
      </c>
      <c r="C669" s="1854" t="s">
        <v>4065</v>
      </c>
      <c r="D669" s="1854" t="s">
        <v>4066</v>
      </c>
      <c r="E669" s="1854" t="s">
        <v>4067</v>
      </c>
      <c r="F669" s="1854" t="s">
        <v>2817</v>
      </c>
      <c r="G669" s="1854" t="s">
        <v>22</v>
      </c>
      <c r="H669" s="1854" t="s">
        <v>22</v>
      </c>
      <c r="I669" s="1854" t="s">
        <v>1118</v>
      </c>
    </row>
    <row customHeight="1" ht="11.25">
      <c r="A670" s="1854" t="s">
        <v>2542</v>
      </c>
      <c r="B670" s="1854" t="s">
        <v>16</v>
      </c>
      <c r="C670" s="1854" t="s">
        <v>4068</v>
      </c>
      <c r="D670" s="1854" t="s">
        <v>4069</v>
      </c>
      <c r="E670" s="1854" t="s">
        <v>4070</v>
      </c>
      <c r="F670" s="1854" t="s">
        <v>3302</v>
      </c>
      <c r="G670" s="1854" t="s">
        <v>22</v>
      </c>
      <c r="H670" s="1854" t="s">
        <v>22</v>
      </c>
      <c r="I670" s="1854" t="s">
        <v>1118</v>
      </c>
    </row>
    <row customHeight="1" ht="11.25">
      <c r="A671" s="1854" t="s">
        <v>2542</v>
      </c>
      <c r="B671" s="1854" t="s">
        <v>16</v>
      </c>
      <c r="C671" s="1854" t="s">
        <v>2985</v>
      </c>
      <c r="D671" s="1854" t="s">
        <v>2986</v>
      </c>
      <c r="E671" s="1854" t="s">
        <v>2987</v>
      </c>
      <c r="F671" s="1854" t="s">
        <v>2591</v>
      </c>
      <c r="G671" s="1854" t="s">
        <v>22</v>
      </c>
      <c r="H671" s="1854" t="s">
        <v>22</v>
      </c>
      <c r="I671" s="1854" t="s">
        <v>1118</v>
      </c>
    </row>
    <row customHeight="1" ht="11.25">
      <c r="A672" s="1854" t="s">
        <v>2542</v>
      </c>
      <c r="B672" s="1854" t="s">
        <v>16</v>
      </c>
      <c r="C672" s="1854" t="s">
        <v>2988</v>
      </c>
      <c r="D672" s="1854" t="s">
        <v>2989</v>
      </c>
      <c r="E672" s="1854" t="s">
        <v>2990</v>
      </c>
      <c r="F672" s="1854" t="s">
        <v>2991</v>
      </c>
      <c r="G672" s="1854" t="s">
        <v>22</v>
      </c>
      <c r="H672" s="1854" t="s">
        <v>22</v>
      </c>
      <c r="I672" s="1854" t="s">
        <v>1118</v>
      </c>
    </row>
    <row customHeight="1" ht="11.25">
      <c r="A673" s="1854" t="s">
        <v>2542</v>
      </c>
      <c r="B673" s="1854" t="s">
        <v>16</v>
      </c>
      <c r="C673" s="1854" t="s">
        <v>2992</v>
      </c>
      <c r="D673" s="1854" t="s">
        <v>2993</v>
      </c>
      <c r="E673" s="1854" t="s">
        <v>2994</v>
      </c>
      <c r="F673" s="1854" t="s">
        <v>2995</v>
      </c>
      <c r="G673" s="1854" t="s">
        <v>22</v>
      </c>
      <c r="H673" s="1854" t="s">
        <v>22</v>
      </c>
      <c r="I673" s="1854" t="s">
        <v>1118</v>
      </c>
    </row>
    <row customHeight="1" ht="11.25">
      <c r="A674" s="1854" t="s">
        <v>2542</v>
      </c>
      <c r="B674" s="1854" t="s">
        <v>16</v>
      </c>
      <c r="C674" s="1854" t="s">
        <v>4071</v>
      </c>
      <c r="D674" s="1854" t="s">
        <v>4072</v>
      </c>
      <c r="E674" s="1854" t="s">
        <v>4073</v>
      </c>
      <c r="F674" s="1854" t="s">
        <v>2599</v>
      </c>
      <c r="G674" s="1854" t="s">
        <v>22</v>
      </c>
      <c r="H674" s="1854" t="s">
        <v>22</v>
      </c>
      <c r="I674" s="1854" t="s">
        <v>1118</v>
      </c>
    </row>
    <row customHeight="1" ht="11.25">
      <c r="A675" s="1854" t="s">
        <v>2542</v>
      </c>
      <c r="B675" s="1854" t="s">
        <v>16</v>
      </c>
      <c r="C675" s="1854" t="s">
        <v>4074</v>
      </c>
      <c r="D675" s="1854" t="s">
        <v>4075</v>
      </c>
      <c r="E675" s="1854" t="s">
        <v>4076</v>
      </c>
      <c r="F675" s="1854" t="s">
        <v>3592</v>
      </c>
      <c r="G675" s="1854" t="s">
        <v>22</v>
      </c>
      <c r="H675" s="1854" t="s">
        <v>22</v>
      </c>
      <c r="I675" s="1854" t="s">
        <v>1118</v>
      </c>
    </row>
    <row customHeight="1" ht="11.25">
      <c r="A676" s="1854" t="s">
        <v>2542</v>
      </c>
      <c r="B676" s="1854" t="s">
        <v>16</v>
      </c>
      <c r="C676" s="1854" t="s">
        <v>4077</v>
      </c>
      <c r="D676" s="1854" t="s">
        <v>4078</v>
      </c>
      <c r="E676" s="1854" t="s">
        <v>4079</v>
      </c>
      <c r="F676" s="1854" t="s">
        <v>2813</v>
      </c>
      <c r="G676" s="1854" t="s">
        <v>4080</v>
      </c>
      <c r="H676" s="1854" t="s">
        <v>22</v>
      </c>
      <c r="I676" s="1854" t="s">
        <v>1118</v>
      </c>
    </row>
    <row customHeight="1" ht="11.25">
      <c r="A677" s="1854" t="s">
        <v>2542</v>
      </c>
      <c r="B677" s="1854" t="s">
        <v>16</v>
      </c>
      <c r="C677" s="1854" t="s">
        <v>2996</v>
      </c>
      <c r="D677" s="1854" t="s">
        <v>2997</v>
      </c>
      <c r="E677" s="1854" t="s">
        <v>2998</v>
      </c>
      <c r="F677" s="1854" t="s">
        <v>2999</v>
      </c>
      <c r="G677" s="1854" t="s">
        <v>22</v>
      </c>
      <c r="H677" s="1854" t="s">
        <v>22</v>
      </c>
      <c r="I677" s="1854" t="s">
        <v>1118</v>
      </c>
    </row>
    <row customHeight="1" ht="11.25">
      <c r="A678" s="1854" t="s">
        <v>2542</v>
      </c>
      <c r="B678" s="1854" t="s">
        <v>16</v>
      </c>
      <c r="C678" s="1854" t="s">
        <v>4081</v>
      </c>
      <c r="D678" s="1854" t="s">
        <v>4082</v>
      </c>
      <c r="E678" s="1854" t="s">
        <v>4083</v>
      </c>
      <c r="F678" s="1854" t="s">
        <v>3102</v>
      </c>
      <c r="G678" s="1854" t="s">
        <v>22</v>
      </c>
      <c r="H678" s="1854" t="s">
        <v>22</v>
      </c>
      <c r="I678" s="1854" t="s">
        <v>1118</v>
      </c>
    </row>
    <row customHeight="1" ht="11.25">
      <c r="A679" s="1854" t="s">
        <v>2542</v>
      </c>
      <c r="B679" s="1854" t="s">
        <v>16</v>
      </c>
      <c r="C679" s="1854" t="s">
        <v>3000</v>
      </c>
      <c r="D679" s="1854" t="s">
        <v>3001</v>
      </c>
      <c r="E679" s="1854" t="s">
        <v>3002</v>
      </c>
      <c r="F679" s="1854" t="s">
        <v>2813</v>
      </c>
      <c r="G679" s="1854" t="s">
        <v>22</v>
      </c>
      <c r="H679" s="1854" t="s">
        <v>22</v>
      </c>
      <c r="I679" s="1854" t="s">
        <v>1118</v>
      </c>
    </row>
    <row customHeight="1" ht="11.25">
      <c r="A680" s="1854" t="s">
        <v>2542</v>
      </c>
      <c r="B680" s="1854" t="s">
        <v>16</v>
      </c>
      <c r="C680" s="1854" t="s">
        <v>4084</v>
      </c>
      <c r="D680" s="1854" t="s">
        <v>4085</v>
      </c>
      <c r="E680" s="1854" t="s">
        <v>4086</v>
      </c>
      <c r="F680" s="1854" t="s">
        <v>2828</v>
      </c>
      <c r="G680" s="1854" t="s">
        <v>22</v>
      </c>
      <c r="H680" s="1854" t="s">
        <v>22</v>
      </c>
      <c r="I680" s="1854" t="s">
        <v>1118</v>
      </c>
    </row>
    <row customHeight="1" ht="11.25">
      <c r="A681" s="1854" t="s">
        <v>2542</v>
      </c>
      <c r="B681" s="1854" t="s">
        <v>16</v>
      </c>
      <c r="C681" s="1854" t="s">
        <v>3003</v>
      </c>
      <c r="D681" s="1854" t="s">
        <v>3004</v>
      </c>
      <c r="E681" s="1854" t="s">
        <v>3005</v>
      </c>
      <c r="F681" s="1854" t="s">
        <v>2610</v>
      </c>
      <c r="G681" s="1854" t="s">
        <v>22</v>
      </c>
      <c r="H681" s="1854" t="s">
        <v>22</v>
      </c>
      <c r="I681" s="1854" t="s">
        <v>1118</v>
      </c>
    </row>
    <row customHeight="1" ht="11.25">
      <c r="A682" s="1854" t="s">
        <v>2542</v>
      </c>
      <c r="B682" s="1854" t="s">
        <v>16</v>
      </c>
      <c r="C682" s="1854" t="s">
        <v>4087</v>
      </c>
      <c r="D682" s="1854" t="s">
        <v>3004</v>
      </c>
      <c r="E682" s="1854" t="s">
        <v>4088</v>
      </c>
      <c r="F682" s="1854" t="s">
        <v>3256</v>
      </c>
      <c r="G682" s="1854" t="s">
        <v>22</v>
      </c>
      <c r="H682" s="1854" t="s">
        <v>22</v>
      </c>
      <c r="I682" s="1854" t="s">
        <v>1118</v>
      </c>
    </row>
    <row customHeight="1" ht="11.25">
      <c r="A683" s="1854" t="s">
        <v>2542</v>
      </c>
      <c r="B683" s="1854" t="s">
        <v>16</v>
      </c>
      <c r="C683" s="1854" t="s">
        <v>4089</v>
      </c>
      <c r="D683" s="1854" t="s">
        <v>4090</v>
      </c>
      <c r="E683" s="1854" t="s">
        <v>4091</v>
      </c>
      <c r="F683" s="1854" t="s">
        <v>2817</v>
      </c>
      <c r="G683" s="1854" t="s">
        <v>22</v>
      </c>
      <c r="H683" s="1854" t="s">
        <v>22</v>
      </c>
      <c r="I683" s="1854" t="s">
        <v>1118</v>
      </c>
    </row>
    <row customHeight="1" ht="11.25">
      <c r="A684" s="1854" t="s">
        <v>2542</v>
      </c>
      <c r="B684" s="1854" t="s">
        <v>16</v>
      </c>
      <c r="C684" s="1854" t="s">
        <v>3006</v>
      </c>
      <c r="D684" s="1854" t="s">
        <v>3007</v>
      </c>
      <c r="E684" s="1854" t="s">
        <v>3008</v>
      </c>
      <c r="F684" s="1854" t="s">
        <v>2817</v>
      </c>
      <c r="G684" s="1854" t="s">
        <v>22</v>
      </c>
      <c r="H684" s="1854" t="s">
        <v>22</v>
      </c>
      <c r="I684" s="1854" t="s">
        <v>1118</v>
      </c>
    </row>
    <row customHeight="1" ht="11.25">
      <c r="A685" s="1854" t="s">
        <v>2542</v>
      </c>
      <c r="B685" s="1854" t="s">
        <v>16</v>
      </c>
      <c r="C685" s="1854" t="s">
        <v>4092</v>
      </c>
      <c r="D685" s="1854" t="s">
        <v>4093</v>
      </c>
      <c r="E685" s="1854" t="s">
        <v>4094</v>
      </c>
      <c r="F685" s="1854" t="s">
        <v>2591</v>
      </c>
      <c r="G685" s="1854" t="s">
        <v>4095</v>
      </c>
      <c r="H685" s="1854" t="s">
        <v>22</v>
      </c>
      <c r="I685" s="1854" t="s">
        <v>1118</v>
      </c>
    </row>
    <row customHeight="1" ht="11.25">
      <c r="A686" s="1854" t="s">
        <v>2542</v>
      </c>
      <c r="B686" s="1854" t="s">
        <v>16</v>
      </c>
      <c r="C686" s="1854" t="s">
        <v>4096</v>
      </c>
      <c r="D686" s="1854" t="s">
        <v>4097</v>
      </c>
      <c r="E686" s="1854" t="s">
        <v>4098</v>
      </c>
      <c r="F686" s="1854" t="s">
        <v>2733</v>
      </c>
      <c r="G686" s="1854" t="s">
        <v>22</v>
      </c>
      <c r="H686" s="1854" t="s">
        <v>22</v>
      </c>
      <c r="I686" s="1854" t="s">
        <v>1118</v>
      </c>
    </row>
    <row customHeight="1" ht="11.25">
      <c r="A687" s="1854" t="s">
        <v>2542</v>
      </c>
      <c r="B687" s="1854" t="s">
        <v>16</v>
      </c>
      <c r="C687" s="1854" t="s">
        <v>4099</v>
      </c>
      <c r="D687" s="1854" t="s">
        <v>4100</v>
      </c>
      <c r="E687" s="1854" t="s">
        <v>4101</v>
      </c>
      <c r="F687" s="1854" t="s">
        <v>3256</v>
      </c>
      <c r="G687" s="1854" t="s">
        <v>22</v>
      </c>
      <c r="H687" s="1854" t="s">
        <v>22</v>
      </c>
      <c r="I687" s="1854" t="s">
        <v>1118</v>
      </c>
    </row>
    <row customHeight="1" ht="11.25">
      <c r="A688" s="1854" t="s">
        <v>2542</v>
      </c>
      <c r="B688" s="1854" t="s">
        <v>16</v>
      </c>
      <c r="C688" s="1854" t="s">
        <v>4102</v>
      </c>
      <c r="D688" s="1854" t="s">
        <v>4103</v>
      </c>
      <c r="E688" s="1854" t="s">
        <v>4104</v>
      </c>
      <c r="F688" s="1854" t="s">
        <v>3065</v>
      </c>
      <c r="G688" s="1854" t="s">
        <v>22</v>
      </c>
      <c r="H688" s="1854" t="s">
        <v>22</v>
      </c>
      <c r="I688" s="1854" t="s">
        <v>1118</v>
      </c>
    </row>
    <row customHeight="1" ht="11.25">
      <c r="A689" s="1854" t="s">
        <v>2542</v>
      </c>
      <c r="B689" s="1854" t="s">
        <v>16</v>
      </c>
      <c r="C689" s="1854" t="s">
        <v>3012</v>
      </c>
      <c r="D689" s="1854" t="s">
        <v>3013</v>
      </c>
      <c r="E689" s="1854" t="s">
        <v>3014</v>
      </c>
      <c r="F689" s="1854" t="s">
        <v>2991</v>
      </c>
      <c r="G689" s="1854" t="s">
        <v>22</v>
      </c>
      <c r="H689" s="1854" t="s">
        <v>22</v>
      </c>
      <c r="I689" s="1854" t="s">
        <v>1118</v>
      </c>
    </row>
    <row customHeight="1" ht="11.25">
      <c r="A690" s="1854" t="s">
        <v>2542</v>
      </c>
      <c r="B690" s="1854" t="s">
        <v>16</v>
      </c>
      <c r="C690" s="1854" t="s">
        <v>3015</v>
      </c>
      <c r="D690" s="1854" t="s">
        <v>3016</v>
      </c>
      <c r="E690" s="1854" t="s">
        <v>3017</v>
      </c>
      <c r="F690" s="1854" t="s">
        <v>2821</v>
      </c>
      <c r="G690" s="1854" t="s">
        <v>22</v>
      </c>
      <c r="H690" s="1854" t="s">
        <v>22</v>
      </c>
      <c r="I690" s="1854" t="s">
        <v>1118</v>
      </c>
    </row>
    <row customHeight="1" ht="11.25">
      <c r="A691" s="1854" t="s">
        <v>2542</v>
      </c>
      <c r="B691" s="1854" t="s">
        <v>16</v>
      </c>
      <c r="C691" s="1854" t="s">
        <v>3018</v>
      </c>
      <c r="D691" s="1854" t="s">
        <v>3019</v>
      </c>
      <c r="E691" s="1854" t="s">
        <v>3020</v>
      </c>
      <c r="F691" s="1854" t="s">
        <v>2973</v>
      </c>
      <c r="G691" s="1854" t="s">
        <v>22</v>
      </c>
      <c r="H691" s="1854" t="s">
        <v>22</v>
      </c>
      <c r="I691" s="1854" t="s">
        <v>1118</v>
      </c>
    </row>
    <row customHeight="1" ht="11.25">
      <c r="A692" s="1854" t="s">
        <v>2542</v>
      </c>
      <c r="B692" s="1854" t="s">
        <v>16</v>
      </c>
      <c r="C692" s="1854" t="s">
        <v>3021</v>
      </c>
      <c r="D692" s="1854" t="s">
        <v>3022</v>
      </c>
      <c r="E692" s="1854" t="s">
        <v>3023</v>
      </c>
      <c r="F692" s="1854" t="s">
        <v>2973</v>
      </c>
      <c r="G692" s="1854" t="s">
        <v>22</v>
      </c>
      <c r="H692" s="1854" t="s">
        <v>22</v>
      </c>
      <c r="I692" s="1854" t="s">
        <v>1118</v>
      </c>
    </row>
    <row customHeight="1" ht="11.25">
      <c r="A693" s="1854" t="s">
        <v>2542</v>
      </c>
      <c r="B693" s="1854" t="s">
        <v>16</v>
      </c>
      <c r="C693" s="1854" t="s">
        <v>3024</v>
      </c>
      <c r="D693" s="1854" t="s">
        <v>3025</v>
      </c>
      <c r="E693" s="1854" t="s">
        <v>3026</v>
      </c>
      <c r="F693" s="1854" t="s">
        <v>2973</v>
      </c>
      <c r="G693" s="1854" t="s">
        <v>22</v>
      </c>
      <c r="H693" s="1854" t="s">
        <v>22</v>
      </c>
      <c r="I693" s="1854" t="s">
        <v>1118</v>
      </c>
    </row>
    <row customHeight="1" ht="11.25">
      <c r="A694" s="1854" t="s">
        <v>2542</v>
      </c>
      <c r="B694" s="1854" t="s">
        <v>16</v>
      </c>
      <c r="C694" s="1854" t="s">
        <v>3027</v>
      </c>
      <c r="D694" s="1854" t="s">
        <v>3028</v>
      </c>
      <c r="E694" s="1854" t="s">
        <v>3029</v>
      </c>
      <c r="F694" s="1854" t="s">
        <v>2973</v>
      </c>
      <c r="G694" s="1854" t="s">
        <v>22</v>
      </c>
      <c r="H694" s="1854" t="s">
        <v>22</v>
      </c>
      <c r="I694" s="1854" t="s">
        <v>1118</v>
      </c>
    </row>
    <row customHeight="1" ht="11.25">
      <c r="A695" s="1854" t="s">
        <v>2542</v>
      </c>
      <c r="B695" s="1854" t="s">
        <v>16</v>
      </c>
      <c r="C695" s="1854" t="s">
        <v>3030</v>
      </c>
      <c r="D695" s="1854" t="s">
        <v>3031</v>
      </c>
      <c r="E695" s="1854" t="s">
        <v>3032</v>
      </c>
      <c r="F695" s="1854" t="s">
        <v>2973</v>
      </c>
      <c r="G695" s="1854" t="s">
        <v>22</v>
      </c>
      <c r="H695" s="1854" t="s">
        <v>22</v>
      </c>
      <c r="I695" s="1854" t="s">
        <v>1118</v>
      </c>
    </row>
    <row customHeight="1" ht="11.25">
      <c r="A696" s="1854" t="s">
        <v>2542</v>
      </c>
      <c r="B696" s="1854" t="s">
        <v>16</v>
      </c>
      <c r="C696" s="1854" t="s">
        <v>3033</v>
      </c>
      <c r="D696" s="1854" t="s">
        <v>3034</v>
      </c>
      <c r="E696" s="1854" t="s">
        <v>3035</v>
      </c>
      <c r="F696" s="1854" t="s">
        <v>2973</v>
      </c>
      <c r="G696" s="1854" t="s">
        <v>22</v>
      </c>
      <c r="H696" s="1854" t="s">
        <v>22</v>
      </c>
      <c r="I696" s="1854" t="s">
        <v>1118</v>
      </c>
    </row>
    <row customHeight="1" ht="11.25">
      <c r="A697" s="1854" t="s">
        <v>2542</v>
      </c>
      <c r="B697" s="1854" t="s">
        <v>16</v>
      </c>
      <c r="C697" s="1854" t="s">
        <v>3036</v>
      </c>
      <c r="D697" s="1854" t="s">
        <v>3037</v>
      </c>
      <c r="E697" s="1854" t="s">
        <v>3038</v>
      </c>
      <c r="F697" s="1854" t="s">
        <v>2641</v>
      </c>
      <c r="G697" s="1854" t="s">
        <v>22</v>
      </c>
      <c r="H697" s="1854" t="s">
        <v>22</v>
      </c>
      <c r="I697" s="1854" t="s">
        <v>1118</v>
      </c>
    </row>
    <row customHeight="1" ht="11.25">
      <c r="A698" s="1854" t="s">
        <v>2542</v>
      </c>
      <c r="B698" s="1854" t="s">
        <v>16</v>
      </c>
      <c r="C698" s="1854" t="s">
        <v>3039</v>
      </c>
      <c r="D698" s="1854" t="s">
        <v>3040</v>
      </c>
      <c r="E698" s="1854" t="s">
        <v>3041</v>
      </c>
      <c r="F698" s="1854" t="s">
        <v>2973</v>
      </c>
      <c r="G698" s="1854" t="s">
        <v>22</v>
      </c>
      <c r="H698" s="1854" t="s">
        <v>22</v>
      </c>
      <c r="I698" s="1854" t="s">
        <v>1118</v>
      </c>
    </row>
    <row customHeight="1" ht="11.25">
      <c r="A699" s="1854" t="s">
        <v>2542</v>
      </c>
      <c r="B699" s="1854" t="s">
        <v>16</v>
      </c>
      <c r="C699" s="1854" t="s">
        <v>3042</v>
      </c>
      <c r="D699" s="1854" t="s">
        <v>3043</v>
      </c>
      <c r="E699" s="1854" t="s">
        <v>3044</v>
      </c>
      <c r="F699" s="1854" t="s">
        <v>3045</v>
      </c>
      <c r="G699" s="1854" t="s">
        <v>22</v>
      </c>
      <c r="H699" s="1854" t="s">
        <v>22</v>
      </c>
      <c r="I699" s="1854" t="s">
        <v>1118</v>
      </c>
    </row>
    <row customHeight="1" ht="11.25">
      <c r="A700" s="1854" t="s">
        <v>2542</v>
      </c>
      <c r="B700" s="1854" t="s">
        <v>16</v>
      </c>
      <c r="C700" s="1854" t="s">
        <v>3046</v>
      </c>
      <c r="D700" s="1854" t="s">
        <v>3047</v>
      </c>
      <c r="E700" s="1854" t="s">
        <v>3048</v>
      </c>
      <c r="F700" s="1854" t="s">
        <v>2973</v>
      </c>
      <c r="G700" s="1854" t="s">
        <v>22</v>
      </c>
      <c r="H700" s="1854" t="s">
        <v>22</v>
      </c>
      <c r="I700" s="1854" t="s">
        <v>1118</v>
      </c>
    </row>
    <row customHeight="1" ht="11.25">
      <c r="A701" s="1854" t="s">
        <v>2542</v>
      </c>
      <c r="B701" s="1854" t="s">
        <v>16</v>
      </c>
      <c r="C701" s="1854" t="s">
        <v>3049</v>
      </c>
      <c r="D701" s="1854" t="s">
        <v>3050</v>
      </c>
      <c r="E701" s="1854" t="s">
        <v>3051</v>
      </c>
      <c r="F701" s="1854" t="s">
        <v>3052</v>
      </c>
      <c r="G701" s="1854" t="s">
        <v>22</v>
      </c>
      <c r="H701" s="1854" t="s">
        <v>22</v>
      </c>
      <c r="I701" s="1854" t="s">
        <v>1118</v>
      </c>
    </row>
    <row customHeight="1" ht="11.25">
      <c r="A702" s="1854" t="s">
        <v>2542</v>
      </c>
      <c r="B702" s="1854" t="s">
        <v>16</v>
      </c>
      <c r="C702" s="1854" t="s">
        <v>4105</v>
      </c>
      <c r="D702" s="1854" t="s">
        <v>4106</v>
      </c>
      <c r="E702" s="1854" t="s">
        <v>4107</v>
      </c>
      <c r="F702" s="1854" t="s">
        <v>2925</v>
      </c>
      <c r="G702" s="1854" t="s">
        <v>22</v>
      </c>
      <c r="H702" s="1854" t="s">
        <v>22</v>
      </c>
      <c r="I702" s="1854" t="s">
        <v>1118</v>
      </c>
    </row>
    <row customHeight="1" ht="11.25">
      <c r="A703" s="1854" t="s">
        <v>2542</v>
      </c>
      <c r="B703" s="1854" t="s">
        <v>16</v>
      </c>
      <c r="C703" s="1854" t="s">
        <v>3053</v>
      </c>
      <c r="D703" s="1854" t="s">
        <v>3054</v>
      </c>
      <c r="E703" s="1854" t="s">
        <v>3055</v>
      </c>
      <c r="F703" s="1854" t="s">
        <v>2794</v>
      </c>
      <c r="G703" s="1854" t="s">
        <v>22</v>
      </c>
      <c r="H703" s="1854" t="s">
        <v>22</v>
      </c>
      <c r="I703" s="1854" t="s">
        <v>1118</v>
      </c>
    </row>
    <row customHeight="1" ht="11.25">
      <c r="A704" s="1854" t="s">
        <v>2542</v>
      </c>
      <c r="B704" s="1854" t="s">
        <v>16</v>
      </c>
      <c r="C704" s="1854" t="s">
        <v>4108</v>
      </c>
      <c r="D704" s="1854" t="s">
        <v>4109</v>
      </c>
      <c r="E704" s="1854" t="s">
        <v>4110</v>
      </c>
      <c r="F704" s="1854" t="s">
        <v>3149</v>
      </c>
      <c r="G704" s="1854" t="s">
        <v>22</v>
      </c>
      <c r="H704" s="1854" t="s">
        <v>22</v>
      </c>
      <c r="I704" s="1854" t="s">
        <v>1118</v>
      </c>
    </row>
    <row customHeight="1" ht="11.25">
      <c r="A705" s="1854" t="s">
        <v>2542</v>
      </c>
      <c r="B705" s="1854" t="s">
        <v>16</v>
      </c>
      <c r="C705" s="1854" t="s">
        <v>3056</v>
      </c>
      <c r="D705" s="1854" t="s">
        <v>3057</v>
      </c>
      <c r="E705" s="1854" t="s">
        <v>3058</v>
      </c>
      <c r="F705" s="1854" t="s">
        <v>2817</v>
      </c>
      <c r="G705" s="1854" t="s">
        <v>22</v>
      </c>
      <c r="H705" s="1854" t="s">
        <v>22</v>
      </c>
      <c r="I705" s="1854" t="s">
        <v>1118</v>
      </c>
    </row>
    <row customHeight="1" ht="11.25">
      <c r="A706" s="1854" t="s">
        <v>2542</v>
      </c>
      <c r="B706" s="1854" t="s">
        <v>16</v>
      </c>
      <c r="C706" s="1854" t="s">
        <v>3059</v>
      </c>
      <c r="D706" s="1854" t="s">
        <v>3060</v>
      </c>
      <c r="E706" s="1854" t="s">
        <v>3061</v>
      </c>
      <c r="F706" s="1854" t="s">
        <v>2591</v>
      </c>
      <c r="G706" s="1854" t="s">
        <v>22</v>
      </c>
      <c r="H706" s="1854" t="s">
        <v>22</v>
      </c>
      <c r="I706" s="1854" t="s">
        <v>1118</v>
      </c>
    </row>
    <row customHeight="1" ht="11.25">
      <c r="A707" s="1854" t="s">
        <v>2542</v>
      </c>
      <c r="B707" s="1854" t="s">
        <v>16</v>
      </c>
      <c r="C707" s="1854" t="s">
        <v>4111</v>
      </c>
      <c r="D707" s="1854" t="s">
        <v>4112</v>
      </c>
      <c r="E707" s="1854" t="s">
        <v>4113</v>
      </c>
      <c r="F707" s="1854" t="s">
        <v>3109</v>
      </c>
      <c r="G707" s="1854" t="s">
        <v>22</v>
      </c>
      <c r="H707" s="1854" t="s">
        <v>22</v>
      </c>
      <c r="I707" s="1854" t="s">
        <v>1118</v>
      </c>
    </row>
    <row customHeight="1" ht="11.25">
      <c r="A708" s="1854" t="s">
        <v>2542</v>
      </c>
      <c r="B708" s="1854" t="s">
        <v>16</v>
      </c>
      <c r="C708" s="1854" t="s">
        <v>4114</v>
      </c>
      <c r="D708" s="1854" t="s">
        <v>4115</v>
      </c>
      <c r="E708" s="1854" t="s">
        <v>4116</v>
      </c>
      <c r="F708" s="1854" t="s">
        <v>2817</v>
      </c>
      <c r="G708" s="1854" t="s">
        <v>22</v>
      </c>
      <c r="H708" s="1854" t="s">
        <v>22</v>
      </c>
      <c r="I708" s="1854" t="s">
        <v>1118</v>
      </c>
    </row>
    <row customHeight="1" ht="11.25">
      <c r="A709" s="1854" t="s">
        <v>2542</v>
      </c>
      <c r="B709" s="1854" t="s">
        <v>16</v>
      </c>
      <c r="C709" s="1854" t="s">
        <v>3062</v>
      </c>
      <c r="D709" s="1854" t="s">
        <v>3063</v>
      </c>
      <c r="E709" s="1854" t="s">
        <v>3064</v>
      </c>
      <c r="F709" s="1854" t="s">
        <v>3065</v>
      </c>
      <c r="G709" s="1854" t="s">
        <v>22</v>
      </c>
      <c r="H709" s="1854" t="s">
        <v>22</v>
      </c>
      <c r="I709" s="1854" t="s">
        <v>1118</v>
      </c>
    </row>
    <row customHeight="1" ht="11.25">
      <c r="A710" s="1854" t="s">
        <v>2542</v>
      </c>
      <c r="B710" s="1854" t="s">
        <v>16</v>
      </c>
      <c r="C710" s="1854" t="s">
        <v>3066</v>
      </c>
      <c r="D710" s="1854" t="s">
        <v>3067</v>
      </c>
      <c r="E710" s="1854" t="s">
        <v>3068</v>
      </c>
      <c r="F710" s="1854" t="s">
        <v>2821</v>
      </c>
      <c r="G710" s="1854" t="s">
        <v>22</v>
      </c>
      <c r="H710" s="1854" t="s">
        <v>22</v>
      </c>
      <c r="I710" s="1854" t="s">
        <v>1118</v>
      </c>
    </row>
    <row customHeight="1" ht="11.25">
      <c r="A711" s="1854" t="s">
        <v>2542</v>
      </c>
      <c r="B711" s="1854" t="s">
        <v>16</v>
      </c>
      <c r="C711" s="1854" t="s">
        <v>3072</v>
      </c>
      <c r="D711" s="1854" t="s">
        <v>3073</v>
      </c>
      <c r="E711" s="1854" t="s">
        <v>3074</v>
      </c>
      <c r="F711" s="1854" t="s">
        <v>2817</v>
      </c>
      <c r="G711" s="1854" t="s">
        <v>22</v>
      </c>
      <c r="H711" s="1854" t="s">
        <v>22</v>
      </c>
      <c r="I711" s="1854" t="s">
        <v>1118</v>
      </c>
    </row>
    <row customHeight="1" ht="11.25">
      <c r="A712" s="1854" t="s">
        <v>2542</v>
      </c>
      <c r="B712" s="1854" t="s">
        <v>16</v>
      </c>
      <c r="C712" s="1854" t="s">
        <v>4117</v>
      </c>
      <c r="D712" s="1854" t="s">
        <v>4118</v>
      </c>
      <c r="E712" s="1854" t="s">
        <v>4119</v>
      </c>
      <c r="F712" s="1854" t="s">
        <v>2801</v>
      </c>
      <c r="G712" s="1854" t="s">
        <v>22</v>
      </c>
      <c r="H712" s="1854" t="s">
        <v>22</v>
      </c>
      <c r="I712" s="1854" t="s">
        <v>1118</v>
      </c>
    </row>
    <row customHeight="1" ht="11.25">
      <c r="A713" s="1854" t="s">
        <v>2542</v>
      </c>
      <c r="B713" s="1854" t="s">
        <v>16</v>
      </c>
      <c r="C713" s="1854" t="s">
        <v>4120</v>
      </c>
      <c r="D713" s="1854" t="s">
        <v>4121</v>
      </c>
      <c r="E713" s="1854" t="s">
        <v>4122</v>
      </c>
      <c r="F713" s="1854" t="s">
        <v>2801</v>
      </c>
      <c r="G713" s="1854" t="s">
        <v>22</v>
      </c>
      <c r="H713" s="1854" t="s">
        <v>22</v>
      </c>
      <c r="I713" s="1854" t="s">
        <v>1118</v>
      </c>
    </row>
    <row customHeight="1" ht="11.25">
      <c r="A714" s="1854" t="s">
        <v>2542</v>
      </c>
      <c r="B714" s="1854" t="s">
        <v>16</v>
      </c>
      <c r="C714" s="1854" t="s">
        <v>3075</v>
      </c>
      <c r="D714" s="1854" t="s">
        <v>3076</v>
      </c>
      <c r="E714" s="1854" t="s">
        <v>3077</v>
      </c>
      <c r="F714" s="1854" t="s">
        <v>2641</v>
      </c>
      <c r="G714" s="1854" t="s">
        <v>22</v>
      </c>
      <c r="H714" s="1854" t="s">
        <v>22</v>
      </c>
      <c r="I714" s="1854" t="s">
        <v>1118</v>
      </c>
    </row>
    <row customHeight="1" ht="11.25">
      <c r="A715" s="1854" t="s">
        <v>2542</v>
      </c>
      <c r="B715" s="1854" t="s">
        <v>16</v>
      </c>
      <c r="C715" s="1854" t="s">
        <v>3078</v>
      </c>
      <c r="D715" s="1854" t="s">
        <v>3079</v>
      </c>
      <c r="E715" s="1854" t="s">
        <v>3080</v>
      </c>
      <c r="F715" s="1854" t="s">
        <v>2591</v>
      </c>
      <c r="G715" s="1854" t="s">
        <v>22</v>
      </c>
      <c r="H715" s="1854" t="s">
        <v>22</v>
      </c>
      <c r="I715" s="1854" t="s">
        <v>1118</v>
      </c>
    </row>
    <row customHeight="1" ht="11.25">
      <c r="A716" s="1854" t="s">
        <v>2542</v>
      </c>
      <c r="B716" s="1854" t="s">
        <v>16</v>
      </c>
      <c r="C716" s="1854" t="s">
        <v>3081</v>
      </c>
      <c r="D716" s="1854" t="s">
        <v>3082</v>
      </c>
      <c r="E716" s="1854" t="s">
        <v>3083</v>
      </c>
      <c r="F716" s="1854" t="s">
        <v>2591</v>
      </c>
      <c r="G716" s="1854" t="s">
        <v>22</v>
      </c>
      <c r="H716" s="1854" t="s">
        <v>22</v>
      </c>
      <c r="I716" s="1854" t="s">
        <v>1118</v>
      </c>
    </row>
    <row customHeight="1" ht="11.25">
      <c r="A717" s="1854" t="s">
        <v>2542</v>
      </c>
      <c r="B717" s="1854" t="s">
        <v>16</v>
      </c>
      <c r="C717" s="1854" t="s">
        <v>4123</v>
      </c>
      <c r="D717" s="1854" t="s">
        <v>4124</v>
      </c>
      <c r="E717" s="1854" t="s">
        <v>4125</v>
      </c>
      <c r="F717" s="1854" t="s">
        <v>2817</v>
      </c>
      <c r="G717" s="1854" t="s">
        <v>22</v>
      </c>
      <c r="H717" s="1854" t="s">
        <v>22</v>
      </c>
      <c r="I717" s="1854" t="s">
        <v>1118</v>
      </c>
    </row>
    <row customHeight="1" ht="11.25">
      <c r="A718" s="1854" t="s">
        <v>2542</v>
      </c>
      <c r="B718" s="1854" t="s">
        <v>16</v>
      </c>
      <c r="C718" s="1854" t="s">
        <v>4126</v>
      </c>
      <c r="D718" s="1854" t="s">
        <v>4127</v>
      </c>
      <c r="E718" s="1854" t="s">
        <v>4128</v>
      </c>
      <c r="F718" s="1854" t="s">
        <v>2917</v>
      </c>
      <c r="G718" s="1854" t="s">
        <v>4129</v>
      </c>
      <c r="H718" s="1854" t="s">
        <v>22</v>
      </c>
      <c r="I718" s="1854" t="s">
        <v>1118</v>
      </c>
    </row>
    <row customHeight="1" ht="11.25">
      <c r="A719" s="1854" t="s">
        <v>2542</v>
      </c>
      <c r="B719" s="1854" t="s">
        <v>16</v>
      </c>
      <c r="C719" s="1854" t="s">
        <v>3090</v>
      </c>
      <c r="D719" s="1854" t="s">
        <v>3091</v>
      </c>
      <c r="E719" s="1854" t="s">
        <v>3092</v>
      </c>
      <c r="F719" s="1854" t="s">
        <v>2813</v>
      </c>
      <c r="G719" s="1854" t="s">
        <v>22</v>
      </c>
      <c r="H719" s="1854" t="s">
        <v>22</v>
      </c>
      <c r="I719" s="1854" t="s">
        <v>1118</v>
      </c>
    </row>
    <row customHeight="1" ht="11.25">
      <c r="A720" s="1854" t="s">
        <v>2542</v>
      </c>
      <c r="B720" s="1854" t="s">
        <v>16</v>
      </c>
      <c r="C720" s="1854" t="s">
        <v>3093</v>
      </c>
      <c r="D720" s="1854" t="s">
        <v>3094</v>
      </c>
      <c r="E720" s="1854" t="s">
        <v>3095</v>
      </c>
      <c r="F720" s="1854" t="s">
        <v>2809</v>
      </c>
      <c r="G720" s="1854" t="s">
        <v>22</v>
      </c>
      <c r="H720" s="1854" t="s">
        <v>22</v>
      </c>
      <c r="I720" s="1854" t="s">
        <v>1118</v>
      </c>
    </row>
    <row customHeight="1" ht="11.25">
      <c r="A721" s="1854" t="s">
        <v>2542</v>
      </c>
      <c r="B721" s="1854" t="s">
        <v>16</v>
      </c>
      <c r="C721" s="1854" t="s">
        <v>4130</v>
      </c>
      <c r="D721" s="1854" t="s">
        <v>4131</v>
      </c>
      <c r="E721" s="1854" t="s">
        <v>4132</v>
      </c>
      <c r="F721" s="1854" t="s">
        <v>2817</v>
      </c>
      <c r="G721" s="1854" t="s">
        <v>22</v>
      </c>
      <c r="H721" s="1854" t="s">
        <v>22</v>
      </c>
      <c r="I721" s="1854" t="s">
        <v>1118</v>
      </c>
    </row>
    <row customHeight="1" ht="11.25">
      <c r="A722" s="1854" t="s">
        <v>2542</v>
      </c>
      <c r="B722" s="1854" t="s">
        <v>16</v>
      </c>
      <c r="C722" s="1854" t="s">
        <v>3096</v>
      </c>
      <c r="D722" s="1854" t="s">
        <v>3097</v>
      </c>
      <c r="E722" s="1854" t="s">
        <v>3098</v>
      </c>
      <c r="F722" s="1854" t="s">
        <v>2973</v>
      </c>
      <c r="G722" s="1854" t="s">
        <v>22</v>
      </c>
      <c r="H722" s="1854" t="s">
        <v>22</v>
      </c>
      <c r="I722" s="1854" t="s">
        <v>1118</v>
      </c>
    </row>
    <row customHeight="1" ht="11.25">
      <c r="A723" s="1854" t="s">
        <v>2542</v>
      </c>
      <c r="B723" s="1854" t="s">
        <v>16</v>
      </c>
      <c r="C723" s="1854" t="s">
        <v>3099</v>
      </c>
      <c r="D723" s="1854" t="s">
        <v>3100</v>
      </c>
      <c r="E723" s="1854" t="s">
        <v>3101</v>
      </c>
      <c r="F723" s="1854" t="s">
        <v>3102</v>
      </c>
      <c r="G723" s="1854" t="s">
        <v>22</v>
      </c>
      <c r="H723" s="1854" t="s">
        <v>22</v>
      </c>
      <c r="I723" s="1854" t="s">
        <v>1118</v>
      </c>
    </row>
    <row customHeight="1" ht="11.25">
      <c r="A724" s="1854" t="s">
        <v>2542</v>
      </c>
      <c r="B724" s="1854" t="s">
        <v>16</v>
      </c>
      <c r="C724" s="1854" t="s">
        <v>3103</v>
      </c>
      <c r="D724" s="1854" t="s">
        <v>3104</v>
      </c>
      <c r="E724" s="1854" t="s">
        <v>3105</v>
      </c>
      <c r="F724" s="1854" t="s">
        <v>2599</v>
      </c>
      <c r="G724" s="1854" t="s">
        <v>22</v>
      </c>
      <c r="H724" s="1854" t="s">
        <v>22</v>
      </c>
      <c r="I724" s="1854" t="s">
        <v>1118</v>
      </c>
    </row>
    <row customHeight="1" ht="11.25">
      <c r="A725" s="1854" t="s">
        <v>2542</v>
      </c>
      <c r="B725" s="1854" t="s">
        <v>16</v>
      </c>
      <c r="C725" s="1854" t="s">
        <v>3110</v>
      </c>
      <c r="D725" s="1854" t="s">
        <v>3111</v>
      </c>
      <c r="E725" s="1854" t="s">
        <v>3112</v>
      </c>
      <c r="F725" s="1854" t="s">
        <v>2973</v>
      </c>
      <c r="G725" s="1854" t="s">
        <v>22</v>
      </c>
      <c r="H725" s="1854" t="s">
        <v>22</v>
      </c>
      <c r="I725" s="1854" t="s">
        <v>1118</v>
      </c>
    </row>
    <row customHeight="1" ht="11.25">
      <c r="A726" s="1854" t="s">
        <v>2542</v>
      </c>
      <c r="B726" s="1854" t="s">
        <v>16</v>
      </c>
      <c r="C726" s="1854" t="s">
        <v>3116</v>
      </c>
      <c r="D726" s="1854" t="s">
        <v>3117</v>
      </c>
      <c r="E726" s="1854" t="s">
        <v>3118</v>
      </c>
      <c r="F726" s="1854" t="s">
        <v>2991</v>
      </c>
      <c r="G726" s="1854" t="s">
        <v>22</v>
      </c>
      <c r="H726" s="1854" t="s">
        <v>22</v>
      </c>
      <c r="I726" s="1854" t="s">
        <v>1118</v>
      </c>
    </row>
    <row customHeight="1" ht="11.25">
      <c r="A727" s="1854" t="s">
        <v>2542</v>
      </c>
      <c r="B727" s="1854" t="s">
        <v>16</v>
      </c>
      <c r="C727" s="1854" t="s">
        <v>3119</v>
      </c>
      <c r="D727" s="1854" t="s">
        <v>3120</v>
      </c>
      <c r="E727" s="1854" t="s">
        <v>3121</v>
      </c>
      <c r="F727" s="1854" t="s">
        <v>3122</v>
      </c>
      <c r="G727" s="1854" t="s">
        <v>22</v>
      </c>
      <c r="H727" s="1854" t="s">
        <v>22</v>
      </c>
      <c r="I727" s="1854" t="s">
        <v>1118</v>
      </c>
    </row>
    <row customHeight="1" ht="11.25">
      <c r="A728" s="1854" t="s">
        <v>2542</v>
      </c>
      <c r="B728" s="1854" t="s">
        <v>16</v>
      </c>
      <c r="C728" s="1854" t="s">
        <v>4133</v>
      </c>
      <c r="D728" s="1854" t="s">
        <v>4134</v>
      </c>
      <c r="E728" s="1854" t="s">
        <v>4135</v>
      </c>
      <c r="F728" s="1854" t="s">
        <v>3181</v>
      </c>
      <c r="G728" s="1854" t="s">
        <v>22</v>
      </c>
      <c r="H728" s="1854" t="s">
        <v>22</v>
      </c>
      <c r="I728" s="1854" t="s">
        <v>1118</v>
      </c>
    </row>
    <row customHeight="1" ht="11.25">
      <c r="A729" s="1854" t="s">
        <v>2542</v>
      </c>
      <c r="B729" s="1854" t="s">
        <v>16</v>
      </c>
      <c r="C729" s="1854" t="s">
        <v>3123</v>
      </c>
      <c r="D729" s="1854" t="s">
        <v>3124</v>
      </c>
      <c r="E729" s="1854" t="s">
        <v>3125</v>
      </c>
      <c r="F729" s="1854" t="s">
        <v>2828</v>
      </c>
      <c r="G729" s="1854" t="s">
        <v>22</v>
      </c>
      <c r="H729" s="1854" t="s">
        <v>22</v>
      </c>
      <c r="I729" s="1854" t="s">
        <v>1118</v>
      </c>
    </row>
    <row customHeight="1" ht="11.25">
      <c r="A730" s="1854" t="s">
        <v>2542</v>
      </c>
      <c r="B730" s="1854" t="s">
        <v>16</v>
      </c>
      <c r="C730" s="1854" t="s">
        <v>3126</v>
      </c>
      <c r="D730" s="1854" t="s">
        <v>3127</v>
      </c>
      <c r="E730" s="1854" t="s">
        <v>3128</v>
      </c>
      <c r="F730" s="1854" t="s">
        <v>3129</v>
      </c>
      <c r="G730" s="1854" t="s">
        <v>22</v>
      </c>
      <c r="H730" s="1854" t="s">
        <v>22</v>
      </c>
      <c r="I730" s="1854" t="s">
        <v>1118</v>
      </c>
    </row>
    <row customHeight="1" ht="11.25">
      <c r="A731" s="1854" t="s">
        <v>2542</v>
      </c>
      <c r="B731" s="1854" t="s">
        <v>16</v>
      </c>
      <c r="C731" s="1854" t="s">
        <v>4136</v>
      </c>
      <c r="D731" s="1854" t="s">
        <v>4137</v>
      </c>
      <c r="E731" s="1854" t="s">
        <v>4138</v>
      </c>
      <c r="F731" s="1854" t="s">
        <v>2925</v>
      </c>
      <c r="G731" s="1854" t="s">
        <v>4139</v>
      </c>
      <c r="H731" s="1854" t="s">
        <v>22</v>
      </c>
      <c r="I731" s="1854" t="s">
        <v>1118</v>
      </c>
    </row>
    <row customHeight="1" ht="11.25">
      <c r="A732" s="1854" t="s">
        <v>2542</v>
      </c>
      <c r="B732" s="1854" t="s">
        <v>16</v>
      </c>
      <c r="C732" s="1854" t="s">
        <v>3130</v>
      </c>
      <c r="D732" s="1854" t="s">
        <v>3131</v>
      </c>
      <c r="E732" s="1854" t="s">
        <v>3132</v>
      </c>
      <c r="F732" s="1854" t="s">
        <v>2610</v>
      </c>
      <c r="G732" s="1854" t="s">
        <v>22</v>
      </c>
      <c r="H732" s="1854" t="s">
        <v>22</v>
      </c>
      <c r="I732" s="1854" t="s">
        <v>1118</v>
      </c>
    </row>
    <row customHeight="1" ht="11.25">
      <c r="A733" s="1854" t="s">
        <v>2542</v>
      </c>
      <c r="B733" s="1854" t="s">
        <v>16</v>
      </c>
      <c r="C733" s="1854" t="s">
        <v>4140</v>
      </c>
      <c r="D733" s="1854" t="s">
        <v>4141</v>
      </c>
      <c r="E733" s="1854" t="s">
        <v>4142</v>
      </c>
      <c r="F733" s="1854" t="s">
        <v>2925</v>
      </c>
      <c r="G733" s="1854" t="s">
        <v>22</v>
      </c>
      <c r="H733" s="1854" t="s">
        <v>22</v>
      </c>
      <c r="I733" s="1854" t="s">
        <v>1118</v>
      </c>
    </row>
    <row customHeight="1" ht="11.25">
      <c r="A734" s="1854" t="s">
        <v>2542</v>
      </c>
      <c r="B734" s="1854" t="s">
        <v>16</v>
      </c>
      <c r="C734" s="1854" t="s">
        <v>4143</v>
      </c>
      <c r="D734" s="1854" t="s">
        <v>4144</v>
      </c>
      <c r="E734" s="1854" t="s">
        <v>4145</v>
      </c>
      <c r="F734" s="1854" t="s">
        <v>2821</v>
      </c>
      <c r="G734" s="1854" t="s">
        <v>22</v>
      </c>
      <c r="H734" s="1854" t="s">
        <v>22</v>
      </c>
      <c r="I734" s="1854" t="s">
        <v>1118</v>
      </c>
    </row>
    <row customHeight="1" ht="11.25">
      <c r="A735" s="1854" t="s">
        <v>2542</v>
      </c>
      <c r="B735" s="1854" t="s">
        <v>16</v>
      </c>
      <c r="C735" s="1854" t="s">
        <v>3133</v>
      </c>
      <c r="D735" s="1854" t="s">
        <v>3134</v>
      </c>
      <c r="E735" s="1854" t="s">
        <v>3135</v>
      </c>
      <c r="F735" s="1854" t="s">
        <v>2805</v>
      </c>
      <c r="G735" s="1854" t="s">
        <v>22</v>
      </c>
      <c r="H735" s="1854" t="s">
        <v>22</v>
      </c>
      <c r="I735" s="1854" t="s">
        <v>1118</v>
      </c>
    </row>
    <row customHeight="1" ht="11.25">
      <c r="A736" s="1854" t="s">
        <v>2542</v>
      </c>
      <c r="B736" s="1854" t="s">
        <v>16</v>
      </c>
      <c r="C736" s="1854" t="s">
        <v>3136</v>
      </c>
      <c r="D736" s="1854" t="s">
        <v>3137</v>
      </c>
      <c r="E736" s="1854" t="s">
        <v>3138</v>
      </c>
      <c r="F736" s="1854" t="s">
        <v>2925</v>
      </c>
      <c r="G736" s="1854" t="s">
        <v>3139</v>
      </c>
      <c r="H736" s="1854" t="s">
        <v>22</v>
      </c>
      <c r="I736" s="1854" t="s">
        <v>1118</v>
      </c>
    </row>
    <row customHeight="1" ht="11.25">
      <c r="A737" s="1854" t="s">
        <v>2542</v>
      </c>
      <c r="B737" s="1854" t="s">
        <v>16</v>
      </c>
      <c r="C737" s="1854" t="s">
        <v>3140</v>
      </c>
      <c r="D737" s="1854" t="s">
        <v>3141</v>
      </c>
      <c r="E737" s="1854" t="s">
        <v>3142</v>
      </c>
      <c r="F737" s="1854" t="s">
        <v>2984</v>
      </c>
      <c r="G737" s="1854" t="s">
        <v>22</v>
      </c>
      <c r="H737" s="1854" t="s">
        <v>22</v>
      </c>
      <c r="I737" s="1854" t="s">
        <v>1118</v>
      </c>
    </row>
    <row customHeight="1" ht="11.25">
      <c r="A738" s="1854" t="s">
        <v>2542</v>
      </c>
      <c r="B738" s="1854" t="s">
        <v>16</v>
      </c>
      <c r="C738" s="1854" t="s">
        <v>3143</v>
      </c>
      <c r="D738" s="1854" t="s">
        <v>3144</v>
      </c>
      <c r="E738" s="1854" t="s">
        <v>3145</v>
      </c>
      <c r="F738" s="1854" t="s">
        <v>2813</v>
      </c>
      <c r="G738" s="1854" t="s">
        <v>22</v>
      </c>
      <c r="H738" s="1854" t="s">
        <v>22</v>
      </c>
      <c r="I738" s="1854" t="s">
        <v>1118</v>
      </c>
    </row>
    <row customHeight="1" ht="11.25">
      <c r="A739" s="1854" t="s">
        <v>2542</v>
      </c>
      <c r="B739" s="1854" t="s">
        <v>16</v>
      </c>
      <c r="C739" s="1854" t="s">
        <v>3146</v>
      </c>
      <c r="D739" s="1854" t="s">
        <v>3147</v>
      </c>
      <c r="E739" s="1854" t="s">
        <v>3148</v>
      </c>
      <c r="F739" s="1854" t="s">
        <v>3149</v>
      </c>
      <c r="G739" s="1854" t="s">
        <v>22</v>
      </c>
      <c r="H739" s="1854" t="s">
        <v>22</v>
      </c>
      <c r="I739" s="1854" t="s">
        <v>1118</v>
      </c>
    </row>
    <row customHeight="1" ht="11.25">
      <c r="A740" s="1854" t="s">
        <v>2542</v>
      </c>
      <c r="B740" s="1854" t="s">
        <v>16</v>
      </c>
      <c r="C740" s="1854" t="s">
        <v>3150</v>
      </c>
      <c r="D740" s="1854" t="s">
        <v>3151</v>
      </c>
      <c r="E740" s="1854" t="s">
        <v>3152</v>
      </c>
      <c r="F740" s="1854" t="s">
        <v>2785</v>
      </c>
      <c r="G740" s="1854" t="s">
        <v>22</v>
      </c>
      <c r="H740" s="1854" t="s">
        <v>22</v>
      </c>
      <c r="I740" s="1854" t="s">
        <v>1118</v>
      </c>
    </row>
    <row customHeight="1" ht="11.25">
      <c r="A741" s="1854" t="s">
        <v>2542</v>
      </c>
      <c r="B741" s="1854" t="s">
        <v>16</v>
      </c>
      <c r="C741" s="1854" t="s">
        <v>3153</v>
      </c>
      <c r="D741" s="1854" t="s">
        <v>3154</v>
      </c>
      <c r="E741" s="1854" t="s">
        <v>3155</v>
      </c>
      <c r="F741" s="1854" t="s">
        <v>3156</v>
      </c>
      <c r="G741" s="1854" t="s">
        <v>22</v>
      </c>
      <c r="H741" s="1854" t="s">
        <v>22</v>
      </c>
      <c r="I741" s="1854" t="s">
        <v>1118</v>
      </c>
    </row>
    <row customHeight="1" ht="11.25">
      <c r="A742" s="1854" t="s">
        <v>2542</v>
      </c>
      <c r="B742" s="1854" t="s">
        <v>16</v>
      </c>
      <c r="C742" s="1854" t="s">
        <v>3157</v>
      </c>
      <c r="D742" s="1854" t="s">
        <v>3158</v>
      </c>
      <c r="E742" s="1854" t="s">
        <v>3159</v>
      </c>
      <c r="F742" s="1854" t="s">
        <v>2821</v>
      </c>
      <c r="G742" s="1854" t="s">
        <v>3160</v>
      </c>
      <c r="H742" s="1854" t="s">
        <v>22</v>
      </c>
      <c r="I742" s="1854" t="s">
        <v>1118</v>
      </c>
    </row>
    <row customHeight="1" ht="11.25">
      <c r="A743" s="1854" t="s">
        <v>2542</v>
      </c>
      <c r="B743" s="1854" t="s">
        <v>16</v>
      </c>
      <c r="C743" s="1854" t="s">
        <v>3161</v>
      </c>
      <c r="D743" s="1854" t="s">
        <v>3162</v>
      </c>
      <c r="E743" s="1854" t="s">
        <v>3163</v>
      </c>
      <c r="F743" s="1854" t="s">
        <v>2821</v>
      </c>
      <c r="G743" s="1854" t="s">
        <v>22</v>
      </c>
      <c r="H743" s="1854" t="s">
        <v>22</v>
      </c>
      <c r="I743" s="1854" t="s">
        <v>1118</v>
      </c>
    </row>
    <row customHeight="1" ht="11.25">
      <c r="A744" s="1854" t="s">
        <v>2542</v>
      </c>
      <c r="B744" s="1854" t="s">
        <v>16</v>
      </c>
      <c r="C744" s="1854" t="s">
        <v>3164</v>
      </c>
      <c r="D744" s="1854" t="s">
        <v>3165</v>
      </c>
      <c r="E744" s="1854" t="s">
        <v>3166</v>
      </c>
      <c r="F744" s="1854" t="s">
        <v>3167</v>
      </c>
      <c r="G744" s="1854" t="s">
        <v>22</v>
      </c>
      <c r="H744" s="1854" t="s">
        <v>22</v>
      </c>
      <c r="I744" s="1854" t="s">
        <v>1118</v>
      </c>
    </row>
    <row customHeight="1" ht="11.25">
      <c r="A745" s="1854" t="s">
        <v>2542</v>
      </c>
      <c r="B745" s="1854" t="s">
        <v>16</v>
      </c>
      <c r="C745" s="1854" t="s">
        <v>3168</v>
      </c>
      <c r="D745" s="1854" t="s">
        <v>3169</v>
      </c>
      <c r="E745" s="1854" t="s">
        <v>3170</v>
      </c>
      <c r="F745" s="1854" t="s">
        <v>2973</v>
      </c>
      <c r="G745" s="1854" t="s">
        <v>22</v>
      </c>
      <c r="H745" s="1854" t="s">
        <v>22</v>
      </c>
      <c r="I745" s="1854" t="s">
        <v>1118</v>
      </c>
    </row>
    <row customHeight="1" ht="11.25">
      <c r="A746" s="1854" t="s">
        <v>2542</v>
      </c>
      <c r="B746" s="1854" t="s">
        <v>16</v>
      </c>
      <c r="C746" s="1854" t="s">
        <v>3171</v>
      </c>
      <c r="D746" s="1854" t="s">
        <v>3172</v>
      </c>
      <c r="E746" s="1854" t="s">
        <v>3173</v>
      </c>
      <c r="F746" s="1854" t="s">
        <v>2785</v>
      </c>
      <c r="G746" s="1854" t="s">
        <v>3174</v>
      </c>
      <c r="H746" s="1854" t="s">
        <v>22</v>
      </c>
      <c r="I746" s="1854" t="s">
        <v>1118</v>
      </c>
    </row>
    <row customHeight="1" ht="11.25">
      <c r="A747" s="1854" t="s">
        <v>2542</v>
      </c>
      <c r="B747" s="1854" t="s">
        <v>16</v>
      </c>
      <c r="C747" s="1854" t="s">
        <v>3175</v>
      </c>
      <c r="D747" s="1854" t="s">
        <v>3176</v>
      </c>
      <c r="E747" s="1854" t="s">
        <v>3177</v>
      </c>
      <c r="F747" s="1854" t="s">
        <v>3129</v>
      </c>
      <c r="G747" s="1854" t="s">
        <v>22</v>
      </c>
      <c r="H747" s="1854" t="s">
        <v>22</v>
      </c>
      <c r="I747" s="1854" t="s">
        <v>1118</v>
      </c>
    </row>
    <row customHeight="1" ht="11.25">
      <c r="A748" s="1854" t="s">
        <v>2542</v>
      </c>
      <c r="B748" s="1854" t="s">
        <v>16</v>
      </c>
      <c r="C748" s="1854" t="s">
        <v>3178</v>
      </c>
      <c r="D748" s="1854" t="s">
        <v>3179</v>
      </c>
      <c r="E748" s="1854" t="s">
        <v>3180</v>
      </c>
      <c r="F748" s="1854" t="s">
        <v>3181</v>
      </c>
      <c r="G748" s="1854" t="s">
        <v>22</v>
      </c>
      <c r="H748" s="1854" t="s">
        <v>22</v>
      </c>
      <c r="I748" s="1854" t="s">
        <v>1118</v>
      </c>
    </row>
    <row customHeight="1" ht="11.25">
      <c r="A749" s="1854" t="s">
        <v>2542</v>
      </c>
      <c r="B749" s="1854" t="s">
        <v>16</v>
      </c>
      <c r="C749" s="1854" t="s">
        <v>3182</v>
      </c>
      <c r="D749" s="1854" t="s">
        <v>3183</v>
      </c>
      <c r="E749" s="1854" t="s">
        <v>3184</v>
      </c>
      <c r="F749" s="1854" t="s">
        <v>3129</v>
      </c>
      <c r="G749" s="1854" t="s">
        <v>22</v>
      </c>
      <c r="H749" s="1854" t="s">
        <v>22</v>
      </c>
      <c r="I749" s="1854" t="s">
        <v>1118</v>
      </c>
    </row>
    <row customHeight="1" ht="11.25">
      <c r="A750" s="1854" t="s">
        <v>2542</v>
      </c>
      <c r="B750" s="1854" t="s">
        <v>16</v>
      </c>
      <c r="C750" s="1854" t="s">
        <v>3185</v>
      </c>
      <c r="D750" s="1854" t="s">
        <v>3186</v>
      </c>
      <c r="E750" s="1854" t="s">
        <v>3187</v>
      </c>
      <c r="F750" s="1854" t="s">
        <v>2925</v>
      </c>
      <c r="G750" s="1854" t="s">
        <v>3188</v>
      </c>
      <c r="H750" s="1854" t="s">
        <v>3189</v>
      </c>
      <c r="I750" s="1854" t="s">
        <v>1118</v>
      </c>
    </row>
    <row customHeight="1" ht="11.25">
      <c r="A751" s="1854" t="s">
        <v>2542</v>
      </c>
      <c r="B751" s="1854" t="s">
        <v>16</v>
      </c>
      <c r="C751" s="1854" t="s">
        <v>4146</v>
      </c>
      <c r="D751" s="1854" t="s">
        <v>4147</v>
      </c>
      <c r="E751" s="1854" t="s">
        <v>4148</v>
      </c>
      <c r="F751" s="1854" t="s">
        <v>3181</v>
      </c>
      <c r="G751" s="1854" t="s">
        <v>22</v>
      </c>
      <c r="H751" s="1854" t="s">
        <v>22</v>
      </c>
      <c r="I751" s="1854" t="s">
        <v>1118</v>
      </c>
    </row>
    <row customHeight="1" ht="11.25">
      <c r="A752" s="1854" t="s">
        <v>2542</v>
      </c>
      <c r="B752" s="1854" t="s">
        <v>16</v>
      </c>
      <c r="C752" s="1854" t="s">
        <v>4149</v>
      </c>
      <c r="D752" s="1854" t="s">
        <v>4150</v>
      </c>
      <c r="E752" s="1854" t="s">
        <v>4151</v>
      </c>
      <c r="F752" s="1854" t="s">
        <v>3364</v>
      </c>
      <c r="G752" s="1854" t="s">
        <v>22</v>
      </c>
      <c r="H752" s="1854" t="s">
        <v>22</v>
      </c>
      <c r="I752" s="1854" t="s">
        <v>1118</v>
      </c>
    </row>
    <row customHeight="1" ht="11.25">
      <c r="A753" s="1854" t="s">
        <v>2542</v>
      </c>
      <c r="B753" s="1854" t="s">
        <v>16</v>
      </c>
      <c r="C753" s="1854" t="s">
        <v>3190</v>
      </c>
      <c r="D753" s="1854" t="s">
        <v>3191</v>
      </c>
      <c r="E753" s="1854" t="s">
        <v>3192</v>
      </c>
      <c r="F753" s="1854" t="s">
        <v>2785</v>
      </c>
      <c r="G753" s="1854" t="s">
        <v>3193</v>
      </c>
      <c r="H753" s="1854" t="s">
        <v>22</v>
      </c>
      <c r="I753" s="1854" t="s">
        <v>1118</v>
      </c>
    </row>
    <row customHeight="1" ht="11.25">
      <c r="A754" s="1854" t="s">
        <v>2542</v>
      </c>
      <c r="B754" s="1854" t="s">
        <v>16</v>
      </c>
      <c r="C754" s="1854" t="s">
        <v>3209</v>
      </c>
      <c r="D754" s="1854" t="s">
        <v>3210</v>
      </c>
      <c r="E754" s="1854" t="s">
        <v>3211</v>
      </c>
      <c r="F754" s="1854" t="s">
        <v>2785</v>
      </c>
      <c r="G754" s="1854" t="s">
        <v>22</v>
      </c>
      <c r="H754" s="1854" t="s">
        <v>22</v>
      </c>
      <c r="I754" s="1854" t="s">
        <v>1118</v>
      </c>
    </row>
    <row customHeight="1" ht="11.25">
      <c r="A755" s="1854" t="s">
        <v>2542</v>
      </c>
      <c r="B755" s="1854" t="s">
        <v>16</v>
      </c>
      <c r="C755" s="1854" t="s">
        <v>3221</v>
      </c>
      <c r="D755" s="1854" t="s">
        <v>3222</v>
      </c>
      <c r="E755" s="1854" t="s">
        <v>3223</v>
      </c>
      <c r="F755" s="1854" t="s">
        <v>3224</v>
      </c>
      <c r="G755" s="1854" t="s">
        <v>22</v>
      </c>
      <c r="H755" s="1854" t="s">
        <v>22</v>
      </c>
      <c r="I755" s="1854" t="s">
        <v>1118</v>
      </c>
    </row>
    <row customHeight="1" ht="11.25">
      <c r="A756" s="1854" t="s">
        <v>2542</v>
      </c>
      <c r="B756" s="1854" t="s">
        <v>16</v>
      </c>
      <c r="C756" s="1854" t="s">
        <v>4152</v>
      </c>
      <c r="D756" s="1854" t="s">
        <v>4153</v>
      </c>
      <c r="E756" s="1854" t="s">
        <v>4154</v>
      </c>
      <c r="F756" s="1854" t="s">
        <v>2821</v>
      </c>
      <c r="G756" s="1854" t="s">
        <v>22</v>
      </c>
      <c r="H756" s="1854" t="s">
        <v>22</v>
      </c>
      <c r="I756" s="1854" t="s">
        <v>1118</v>
      </c>
    </row>
    <row customHeight="1" ht="11.25">
      <c r="A757" s="1854" t="s">
        <v>2542</v>
      </c>
      <c r="B757" s="1854" t="s">
        <v>16</v>
      </c>
      <c r="C757" s="1854" t="s">
        <v>3246</v>
      </c>
      <c r="D757" s="1854" t="s">
        <v>3247</v>
      </c>
      <c r="E757" s="1854" t="s">
        <v>3248</v>
      </c>
      <c r="F757" s="1854" t="s">
        <v>2665</v>
      </c>
      <c r="G757" s="1854" t="s">
        <v>22</v>
      </c>
      <c r="H757" s="1854" t="s">
        <v>22</v>
      </c>
      <c r="I757" s="1854" t="s">
        <v>1118</v>
      </c>
    </row>
    <row customHeight="1" ht="11.25">
      <c r="A758" s="1854" t="s">
        <v>2542</v>
      </c>
      <c r="B758" s="1854" t="s">
        <v>16</v>
      </c>
      <c r="C758" s="1854" t="s">
        <v>3249</v>
      </c>
      <c r="D758" s="1854" t="s">
        <v>3250</v>
      </c>
      <c r="E758" s="1854" t="s">
        <v>3251</v>
      </c>
      <c r="F758" s="1854" t="s">
        <v>2821</v>
      </c>
      <c r="G758" s="1854" t="s">
        <v>22</v>
      </c>
      <c r="H758" s="1854" t="s">
        <v>3252</v>
      </c>
      <c r="I758" s="1854" t="s">
        <v>1118</v>
      </c>
    </row>
    <row customHeight="1" ht="11.25">
      <c r="A759" s="1854" t="s">
        <v>2542</v>
      </c>
      <c r="B759" s="1854" t="s">
        <v>16</v>
      </c>
      <c r="C759" s="1854" t="s">
        <v>3253</v>
      </c>
      <c r="D759" s="1854" t="s">
        <v>3254</v>
      </c>
      <c r="E759" s="1854" t="s">
        <v>3255</v>
      </c>
      <c r="F759" s="1854" t="s">
        <v>3256</v>
      </c>
      <c r="G759" s="1854" t="s">
        <v>22</v>
      </c>
      <c r="H759" s="1854" t="s">
        <v>22</v>
      </c>
      <c r="I759" s="1854" t="s">
        <v>1118</v>
      </c>
    </row>
    <row customHeight="1" ht="11.25">
      <c r="A760" s="1854" t="s">
        <v>2542</v>
      </c>
      <c r="B760" s="1854" t="s">
        <v>16</v>
      </c>
      <c r="C760" s="1854" t="s">
        <v>3257</v>
      </c>
      <c r="D760" s="1854" t="s">
        <v>3258</v>
      </c>
      <c r="E760" s="1854" t="s">
        <v>3259</v>
      </c>
      <c r="F760" s="1854" t="s">
        <v>2995</v>
      </c>
      <c r="G760" s="1854" t="s">
        <v>22</v>
      </c>
      <c r="H760" s="1854" t="s">
        <v>22</v>
      </c>
      <c r="I760" s="1854" t="s">
        <v>1118</v>
      </c>
    </row>
    <row customHeight="1" ht="11.25">
      <c r="A761" s="1854" t="s">
        <v>2542</v>
      </c>
      <c r="B761" s="1854" t="s">
        <v>16</v>
      </c>
      <c r="C761" s="1854" t="s">
        <v>3272</v>
      </c>
      <c r="D761" s="1854" t="s">
        <v>3273</v>
      </c>
      <c r="E761" s="1854" t="s">
        <v>3274</v>
      </c>
      <c r="F761" s="1854" t="s">
        <v>2973</v>
      </c>
      <c r="G761" s="1854" t="s">
        <v>22</v>
      </c>
      <c r="H761" s="1854" t="s">
        <v>22</v>
      </c>
      <c r="I761" s="1854" t="s">
        <v>1118</v>
      </c>
    </row>
    <row customHeight="1" ht="11.25">
      <c r="A762" s="1854" t="s">
        <v>2542</v>
      </c>
      <c r="B762" s="1854" t="s">
        <v>16</v>
      </c>
      <c r="C762" s="1854" t="s">
        <v>4155</v>
      </c>
      <c r="D762" s="1854" t="s">
        <v>4156</v>
      </c>
      <c r="E762" s="1854" t="s">
        <v>4157</v>
      </c>
      <c r="F762" s="1854" t="s">
        <v>2641</v>
      </c>
      <c r="G762" s="1854" t="s">
        <v>22</v>
      </c>
      <c r="H762" s="1854" t="s">
        <v>22</v>
      </c>
      <c r="I762" s="1854" t="s">
        <v>1118</v>
      </c>
    </row>
    <row customHeight="1" ht="11.25">
      <c r="A763" s="1854" t="s">
        <v>2542</v>
      </c>
      <c r="B763" s="1854" t="s">
        <v>16</v>
      </c>
      <c r="C763" s="1854" t="s">
        <v>3281</v>
      </c>
      <c r="D763" s="1854" t="s">
        <v>3282</v>
      </c>
      <c r="E763" s="1854" t="s">
        <v>2853</v>
      </c>
      <c r="F763" s="1854" t="s">
        <v>3283</v>
      </c>
      <c r="G763" s="1854" t="s">
        <v>22</v>
      </c>
      <c r="H763" s="1854" t="s">
        <v>22</v>
      </c>
      <c r="I763" s="1854" t="s">
        <v>1118</v>
      </c>
    </row>
    <row customHeight="1" ht="11.25">
      <c r="A764" s="1854" t="s">
        <v>2542</v>
      </c>
      <c r="B764" s="1854" t="s">
        <v>16</v>
      </c>
      <c r="C764" s="1854" t="s">
        <v>4158</v>
      </c>
      <c r="D764" s="1854" t="s">
        <v>4159</v>
      </c>
      <c r="E764" s="1854" t="s">
        <v>4160</v>
      </c>
      <c r="F764" s="1854" t="s">
        <v>2606</v>
      </c>
      <c r="G764" s="1854" t="s">
        <v>22</v>
      </c>
      <c r="H764" s="1854" t="s">
        <v>22</v>
      </c>
      <c r="I764" s="1854" t="s">
        <v>1118</v>
      </c>
    </row>
    <row customHeight="1" ht="11.25">
      <c r="A765" s="1854" t="s">
        <v>2542</v>
      </c>
      <c r="B765" s="1854" t="s">
        <v>16</v>
      </c>
      <c r="C765" s="1854" t="s">
        <v>3293</v>
      </c>
      <c r="D765" s="1854" t="s">
        <v>3294</v>
      </c>
      <c r="E765" s="1854" t="s">
        <v>3295</v>
      </c>
      <c r="F765" s="1854" t="s">
        <v>2550</v>
      </c>
      <c r="G765" s="1854" t="s">
        <v>22</v>
      </c>
      <c r="H765" s="1854" t="s">
        <v>22</v>
      </c>
      <c r="I765" s="1854" t="s">
        <v>1118</v>
      </c>
    </row>
    <row customHeight="1" ht="11.25">
      <c r="A766" s="1854" t="s">
        <v>2542</v>
      </c>
      <c r="B766" s="1854" t="s">
        <v>16</v>
      </c>
      <c r="C766" s="1854" t="s">
        <v>3296</v>
      </c>
      <c r="D766" s="1854" t="s">
        <v>3297</v>
      </c>
      <c r="E766" s="1854" t="s">
        <v>3298</v>
      </c>
      <c r="F766" s="1854" t="s">
        <v>2805</v>
      </c>
      <c r="G766" s="1854" t="s">
        <v>22</v>
      </c>
      <c r="H766" s="1854" t="s">
        <v>22</v>
      </c>
      <c r="I766" s="1854" t="s">
        <v>1118</v>
      </c>
    </row>
    <row customHeight="1" ht="11.25">
      <c r="A767" s="1854" t="s">
        <v>2542</v>
      </c>
      <c r="B767" s="1854" t="s">
        <v>16</v>
      </c>
      <c r="C767" s="1854" t="s">
        <v>3299</v>
      </c>
      <c r="D767" s="1854" t="s">
        <v>3300</v>
      </c>
      <c r="E767" s="1854" t="s">
        <v>3301</v>
      </c>
      <c r="F767" s="1854" t="s">
        <v>3302</v>
      </c>
      <c r="G767" s="1854" t="s">
        <v>22</v>
      </c>
      <c r="H767" s="1854" t="s">
        <v>22</v>
      </c>
      <c r="I767" s="1854" t="s">
        <v>1118</v>
      </c>
    </row>
    <row customHeight="1" ht="11.25">
      <c r="A768" s="1854" t="s">
        <v>2542</v>
      </c>
      <c r="B768" s="1854" t="s">
        <v>16</v>
      </c>
      <c r="C768" s="1854" t="s">
        <v>4161</v>
      </c>
      <c r="D768" s="1854" t="s">
        <v>4162</v>
      </c>
      <c r="E768" s="1854" t="s">
        <v>4163</v>
      </c>
      <c r="F768" s="1854" t="s">
        <v>2563</v>
      </c>
      <c r="G768" s="1854" t="s">
        <v>4164</v>
      </c>
      <c r="H768" s="1854" t="s">
        <v>22</v>
      </c>
      <c r="I768" s="1854" t="s">
        <v>1118</v>
      </c>
    </row>
    <row customHeight="1" ht="11.25">
      <c r="A769" s="1854" t="s">
        <v>2542</v>
      </c>
      <c r="B769" s="1854" t="s">
        <v>16</v>
      </c>
      <c r="C769" s="1854" t="s">
        <v>3312</v>
      </c>
      <c r="D769" s="1854" t="s">
        <v>3313</v>
      </c>
      <c r="E769" s="1854" t="s">
        <v>3314</v>
      </c>
      <c r="F769" s="1854" t="s">
        <v>2584</v>
      </c>
      <c r="G769" s="1854" t="s">
        <v>22</v>
      </c>
      <c r="H769" s="1854" t="s">
        <v>22</v>
      </c>
      <c r="I769" s="1854" t="s">
        <v>1118</v>
      </c>
    </row>
    <row customHeight="1" ht="11.25">
      <c r="A770" s="1854" t="s">
        <v>2542</v>
      </c>
      <c r="B770" s="1854" t="s">
        <v>16</v>
      </c>
      <c r="C770" s="1854" t="s">
        <v>4165</v>
      </c>
      <c r="D770" s="1854" t="s">
        <v>4166</v>
      </c>
      <c r="E770" s="1854" t="s">
        <v>4167</v>
      </c>
      <c r="F770" s="1854" t="s">
        <v>2743</v>
      </c>
      <c r="G770" s="1854" t="s">
        <v>22</v>
      </c>
      <c r="H770" s="1854" t="s">
        <v>22</v>
      </c>
      <c r="I770" s="1854" t="s">
        <v>1118</v>
      </c>
    </row>
    <row customHeight="1" ht="11.25">
      <c r="A771" s="1854" t="s">
        <v>2542</v>
      </c>
      <c r="B771" s="1854" t="s">
        <v>16</v>
      </c>
      <c r="C771" s="1854" t="s">
        <v>4168</v>
      </c>
      <c r="D771" s="1854" t="s">
        <v>4169</v>
      </c>
      <c r="E771" s="1854" t="s">
        <v>4170</v>
      </c>
      <c r="F771" s="1854" t="s">
        <v>3364</v>
      </c>
      <c r="G771" s="1854" t="s">
        <v>22</v>
      </c>
      <c r="H771" s="1854" t="s">
        <v>22</v>
      </c>
      <c r="I771" s="1854" t="s">
        <v>1118</v>
      </c>
    </row>
    <row customHeight="1" ht="11.25">
      <c r="A772" s="1854" t="s">
        <v>2542</v>
      </c>
      <c r="B772" s="1854" t="s">
        <v>16</v>
      </c>
      <c r="C772" s="1854" t="s">
        <v>4171</v>
      </c>
      <c r="D772" s="1854" t="s">
        <v>4172</v>
      </c>
      <c r="E772" s="1854" t="s">
        <v>4173</v>
      </c>
      <c r="F772" s="1854" t="s">
        <v>2933</v>
      </c>
      <c r="G772" s="1854" t="s">
        <v>22</v>
      </c>
      <c r="H772" s="1854" t="s">
        <v>22</v>
      </c>
      <c r="I772" s="1854" t="s">
        <v>1118</v>
      </c>
    </row>
    <row customHeight="1" ht="11.25">
      <c r="A773" s="1854" t="s">
        <v>2542</v>
      </c>
      <c r="B773" s="1854" t="s">
        <v>16</v>
      </c>
      <c r="C773" s="1854" t="s">
        <v>4174</v>
      </c>
      <c r="D773" s="1854" t="s">
        <v>4175</v>
      </c>
      <c r="E773" s="1854" t="s">
        <v>4176</v>
      </c>
      <c r="F773" s="1854" t="s">
        <v>2801</v>
      </c>
      <c r="G773" s="1854" t="s">
        <v>22</v>
      </c>
      <c r="H773" s="1854" t="s">
        <v>22</v>
      </c>
      <c r="I773" s="1854" t="s">
        <v>1118</v>
      </c>
    </row>
    <row customHeight="1" ht="11.25">
      <c r="A774" s="1854" t="s">
        <v>2542</v>
      </c>
      <c r="B774" s="1854" t="s">
        <v>16</v>
      </c>
      <c r="C774" s="1854" t="s">
        <v>4177</v>
      </c>
      <c r="D774" s="1854" t="s">
        <v>4178</v>
      </c>
      <c r="E774" s="1854" t="s">
        <v>4179</v>
      </c>
      <c r="F774" s="1854" t="s">
        <v>3181</v>
      </c>
      <c r="G774" s="1854" t="s">
        <v>22</v>
      </c>
      <c r="H774" s="1854" t="s">
        <v>22</v>
      </c>
      <c r="I774" s="1854" t="s">
        <v>1118</v>
      </c>
    </row>
    <row customHeight="1" ht="11.25">
      <c r="A775" s="1854" t="s">
        <v>2542</v>
      </c>
      <c r="B775" s="1854" t="s">
        <v>16</v>
      </c>
      <c r="C775" s="1854" t="s">
        <v>4180</v>
      </c>
      <c r="D775" s="1854" t="s">
        <v>4181</v>
      </c>
      <c r="E775" s="1854" t="s">
        <v>4182</v>
      </c>
      <c r="F775" s="1854" t="s">
        <v>2921</v>
      </c>
      <c r="G775" s="1854" t="s">
        <v>22</v>
      </c>
      <c r="H775" s="1854" t="s">
        <v>22</v>
      </c>
      <c r="I775" s="1854" t="s">
        <v>1118</v>
      </c>
    </row>
    <row customHeight="1" ht="11.25">
      <c r="A776" s="1854" t="s">
        <v>2542</v>
      </c>
      <c r="B776" s="1854" t="s">
        <v>16</v>
      </c>
      <c r="C776" s="1854" t="s">
        <v>4183</v>
      </c>
      <c r="D776" s="1854" t="s">
        <v>4184</v>
      </c>
      <c r="E776" s="1854" t="s">
        <v>4185</v>
      </c>
      <c r="F776" s="1854" t="s">
        <v>2785</v>
      </c>
      <c r="G776" s="1854" t="s">
        <v>22</v>
      </c>
      <c r="H776" s="1854" t="s">
        <v>22</v>
      </c>
      <c r="I776" s="1854" t="s">
        <v>1118</v>
      </c>
    </row>
    <row customHeight="1" ht="11.25">
      <c r="A777" s="1854" t="s">
        <v>2542</v>
      </c>
      <c r="B777" s="1854" t="s">
        <v>16</v>
      </c>
      <c r="C777" s="1854" t="s">
        <v>3382</v>
      </c>
      <c r="D777" s="1854" t="s">
        <v>3383</v>
      </c>
      <c r="E777" s="1854" t="s">
        <v>3384</v>
      </c>
      <c r="F777" s="1854" t="s">
        <v>2828</v>
      </c>
      <c r="G777" s="1854" t="s">
        <v>22</v>
      </c>
      <c r="H777" s="1854" t="s">
        <v>22</v>
      </c>
      <c r="I777" s="1854" t="s">
        <v>1118</v>
      </c>
    </row>
    <row customHeight="1" ht="11.25">
      <c r="A778" s="1854" t="s">
        <v>2542</v>
      </c>
      <c r="B778" s="1854" t="s">
        <v>16</v>
      </c>
      <c r="C778" s="1854" t="s">
        <v>3385</v>
      </c>
      <c r="D778" s="1854" t="s">
        <v>3383</v>
      </c>
      <c r="E778" s="1854" t="s">
        <v>3386</v>
      </c>
      <c r="F778" s="1854" t="s">
        <v>2984</v>
      </c>
      <c r="G778" s="1854" t="s">
        <v>22</v>
      </c>
      <c r="H778" s="1854" t="s">
        <v>22</v>
      </c>
      <c r="I778" s="1854" t="s">
        <v>1118</v>
      </c>
    </row>
    <row customHeight="1" ht="11.25">
      <c r="A779" s="1854" t="s">
        <v>2542</v>
      </c>
      <c r="B779" s="1854" t="s">
        <v>16</v>
      </c>
      <c r="C779" s="1854" t="s">
        <v>4186</v>
      </c>
      <c r="D779" s="1854" t="s">
        <v>3383</v>
      </c>
      <c r="E779" s="1854" t="s">
        <v>4187</v>
      </c>
      <c r="F779" s="1854" t="s">
        <v>2577</v>
      </c>
      <c r="G779" s="1854" t="s">
        <v>22</v>
      </c>
      <c r="H779" s="1854" t="s">
        <v>22</v>
      </c>
      <c r="I779" s="1854" t="s">
        <v>1118</v>
      </c>
    </row>
    <row customHeight="1" ht="11.25">
      <c r="A780" s="1854" t="s">
        <v>2542</v>
      </c>
      <c r="B780" s="1854" t="s">
        <v>16</v>
      </c>
      <c r="C780" s="1854" t="s">
        <v>4188</v>
      </c>
      <c r="D780" s="1854" t="s">
        <v>4189</v>
      </c>
      <c r="E780" s="1854" t="s">
        <v>4190</v>
      </c>
      <c r="F780" s="1854" t="s">
        <v>2591</v>
      </c>
      <c r="G780" s="1854" t="s">
        <v>22</v>
      </c>
      <c r="H780" s="1854" t="s">
        <v>22</v>
      </c>
      <c r="I780" s="1854" t="s">
        <v>1118</v>
      </c>
    </row>
    <row customHeight="1" ht="11.25">
      <c r="A781" s="1854" t="s">
        <v>2542</v>
      </c>
      <c r="B781" s="1854" t="s">
        <v>16</v>
      </c>
      <c r="C781" s="1854" t="s">
        <v>3390</v>
      </c>
      <c r="D781" s="1854" t="s">
        <v>3391</v>
      </c>
      <c r="E781" s="1854" t="s">
        <v>3392</v>
      </c>
      <c r="F781" s="1854" t="s">
        <v>2813</v>
      </c>
      <c r="G781" s="1854" t="s">
        <v>22</v>
      </c>
      <c r="H781" s="1854" t="s">
        <v>22</v>
      </c>
      <c r="I781" s="1854" t="s">
        <v>1118</v>
      </c>
    </row>
    <row customHeight="1" ht="11.25">
      <c r="A782" s="1854" t="s">
        <v>2542</v>
      </c>
      <c r="B782" s="1854" t="s">
        <v>16</v>
      </c>
      <c r="C782" s="1854" t="s">
        <v>3399</v>
      </c>
      <c r="D782" s="1854" t="s">
        <v>3400</v>
      </c>
      <c r="E782" s="1854" t="s">
        <v>3401</v>
      </c>
      <c r="F782" s="1854" t="s">
        <v>3402</v>
      </c>
      <c r="G782" s="1854" t="s">
        <v>22</v>
      </c>
      <c r="H782" s="1854" t="s">
        <v>22</v>
      </c>
      <c r="I782" s="1854" t="s">
        <v>1118</v>
      </c>
    </row>
    <row customHeight="1" ht="11.25">
      <c r="A783" s="1854" t="s">
        <v>2542</v>
      </c>
      <c r="B783" s="1854" t="s">
        <v>16</v>
      </c>
      <c r="C783" s="1854" t="s">
        <v>4191</v>
      </c>
      <c r="D783" s="1854" t="s">
        <v>4192</v>
      </c>
      <c r="E783" s="1854" t="s">
        <v>4193</v>
      </c>
      <c r="F783" s="1854" t="s">
        <v>4194</v>
      </c>
      <c r="G783" s="1854" t="s">
        <v>22</v>
      </c>
      <c r="H783" s="1854" t="s">
        <v>22</v>
      </c>
      <c r="I783" s="1854" t="s">
        <v>1118</v>
      </c>
    </row>
    <row customHeight="1" ht="11.25">
      <c r="A784" s="1854" t="s">
        <v>2542</v>
      </c>
      <c r="B784" s="1854" t="s">
        <v>16</v>
      </c>
      <c r="C784" s="1854" t="s">
        <v>4195</v>
      </c>
      <c r="D784" s="1854" t="s">
        <v>4196</v>
      </c>
      <c r="E784" s="1854" t="s">
        <v>4197</v>
      </c>
      <c r="F784" s="1854" t="s">
        <v>2599</v>
      </c>
      <c r="G784" s="1854" t="s">
        <v>22</v>
      </c>
      <c r="H784" s="1854" t="s">
        <v>22</v>
      </c>
      <c r="I784" s="1854" t="s">
        <v>1118</v>
      </c>
    </row>
    <row customHeight="1" ht="11.25">
      <c r="A785" s="1854" t="s">
        <v>2542</v>
      </c>
      <c r="B785" s="1854" t="s">
        <v>16</v>
      </c>
      <c r="C785" s="1854" t="s">
        <v>3427</v>
      </c>
      <c r="D785" s="1854" t="s">
        <v>3428</v>
      </c>
      <c r="E785" s="1854" t="s">
        <v>3429</v>
      </c>
      <c r="F785" s="1854" t="s">
        <v>2743</v>
      </c>
      <c r="G785" s="1854" t="s">
        <v>22</v>
      </c>
      <c r="H785" s="1854" t="s">
        <v>22</v>
      </c>
      <c r="I785" s="1854" t="s">
        <v>1118</v>
      </c>
    </row>
    <row customHeight="1" ht="11.25">
      <c r="A786" s="1854" t="s">
        <v>2542</v>
      </c>
      <c r="B786" s="1854" t="s">
        <v>16</v>
      </c>
      <c r="C786" s="1854" t="s">
        <v>4198</v>
      </c>
      <c r="D786" s="1854" t="s">
        <v>4199</v>
      </c>
      <c r="E786" s="1854" t="s">
        <v>4200</v>
      </c>
      <c r="F786" s="1854" t="s">
        <v>3181</v>
      </c>
      <c r="G786" s="1854" t="s">
        <v>22</v>
      </c>
      <c r="H786" s="1854" t="s">
        <v>22</v>
      </c>
      <c r="I786" s="1854" t="s">
        <v>1118</v>
      </c>
    </row>
    <row customHeight="1" ht="11.25">
      <c r="A787" s="1854" t="s">
        <v>2542</v>
      </c>
      <c r="B787" s="1854" t="s">
        <v>16</v>
      </c>
      <c r="C787" s="1854" t="s">
        <v>3437</v>
      </c>
      <c r="D787" s="1854" t="s">
        <v>3438</v>
      </c>
      <c r="E787" s="1854" t="s">
        <v>3439</v>
      </c>
      <c r="F787" s="1854" t="s">
        <v>2558</v>
      </c>
      <c r="G787" s="1854" t="s">
        <v>22</v>
      </c>
      <c r="H787" s="1854" t="s">
        <v>22</v>
      </c>
      <c r="I787" s="1854" t="s">
        <v>1118</v>
      </c>
    </row>
    <row customHeight="1" ht="11.25">
      <c r="A788" s="1854" t="s">
        <v>2542</v>
      </c>
      <c r="B788" s="1854" t="s">
        <v>16</v>
      </c>
      <c r="C788" s="1854" t="s">
        <v>3440</v>
      </c>
      <c r="D788" s="1854" t="s">
        <v>3441</v>
      </c>
      <c r="E788" s="1854" t="s">
        <v>3442</v>
      </c>
      <c r="F788" s="1854" t="s">
        <v>2767</v>
      </c>
      <c r="G788" s="1854" t="s">
        <v>22</v>
      </c>
      <c r="H788" s="1854" t="s">
        <v>22</v>
      </c>
      <c r="I788" s="1854" t="s">
        <v>1118</v>
      </c>
    </row>
    <row customHeight="1" ht="11.25">
      <c r="A789" s="1854" t="s">
        <v>2542</v>
      </c>
      <c r="B789" s="1854" t="s">
        <v>16</v>
      </c>
      <c r="C789" s="1854" t="s">
        <v>4201</v>
      </c>
      <c r="D789" s="1854" t="s">
        <v>4202</v>
      </c>
      <c r="E789" s="1854" t="s">
        <v>4203</v>
      </c>
      <c r="F789" s="1854" t="s">
        <v>2606</v>
      </c>
      <c r="G789" s="1854" t="s">
        <v>22</v>
      </c>
      <c r="H789" s="1854" t="s">
        <v>22</v>
      </c>
      <c r="I789" s="1854" t="s">
        <v>1118</v>
      </c>
    </row>
    <row customHeight="1" ht="11.25">
      <c r="A790" s="1854" t="s">
        <v>2542</v>
      </c>
      <c r="B790" s="1854" t="s">
        <v>16</v>
      </c>
      <c r="C790" s="1854" t="s">
        <v>4204</v>
      </c>
      <c r="D790" s="1854" t="s">
        <v>4205</v>
      </c>
      <c r="E790" s="1854" t="s">
        <v>4206</v>
      </c>
      <c r="F790" s="1854" t="s">
        <v>2606</v>
      </c>
      <c r="G790" s="1854" t="s">
        <v>22</v>
      </c>
      <c r="H790" s="1854" t="s">
        <v>22</v>
      </c>
      <c r="I790" s="1854" t="s">
        <v>1118</v>
      </c>
    </row>
    <row customHeight="1" ht="11.25">
      <c r="A791" s="1854" t="s">
        <v>2542</v>
      </c>
      <c r="B791" s="1854" t="s">
        <v>16</v>
      </c>
      <c r="C791" s="1854" t="s">
        <v>4207</v>
      </c>
      <c r="D791" s="1854" t="s">
        <v>4208</v>
      </c>
      <c r="E791" s="1854" t="s">
        <v>4209</v>
      </c>
      <c r="F791" s="1854" t="s">
        <v>2620</v>
      </c>
      <c r="G791" s="1854" t="s">
        <v>22</v>
      </c>
      <c r="H791" s="1854" t="s">
        <v>22</v>
      </c>
      <c r="I791" s="1854" t="s">
        <v>1118</v>
      </c>
    </row>
    <row customHeight="1" ht="11.25">
      <c r="A792" s="1854" t="s">
        <v>2542</v>
      </c>
      <c r="B792" s="1854" t="s">
        <v>16</v>
      </c>
      <c r="C792" s="1854" t="s">
        <v>3459</v>
      </c>
      <c r="D792" s="1854" t="s">
        <v>3460</v>
      </c>
      <c r="E792" s="1854" t="s">
        <v>3461</v>
      </c>
      <c r="F792" s="1854" t="s">
        <v>2679</v>
      </c>
      <c r="G792" s="1854" t="s">
        <v>3462</v>
      </c>
      <c r="H792" s="1854" t="s">
        <v>22</v>
      </c>
      <c r="I792" s="1854" t="s">
        <v>1118</v>
      </c>
    </row>
    <row customHeight="1" ht="11.25">
      <c r="A793" s="1854" t="s">
        <v>2542</v>
      </c>
      <c r="B793" s="1854" t="s">
        <v>16</v>
      </c>
      <c r="C793" s="1854" t="s">
        <v>4210</v>
      </c>
      <c r="D793" s="1854" t="s">
        <v>4211</v>
      </c>
      <c r="E793" s="1854" t="s">
        <v>4212</v>
      </c>
      <c r="F793" s="1854" t="s">
        <v>3052</v>
      </c>
      <c r="G793" s="1854" t="s">
        <v>22</v>
      </c>
      <c r="H793" s="1854" t="s">
        <v>22</v>
      </c>
      <c r="I793" s="1854" t="s">
        <v>1118</v>
      </c>
    </row>
    <row customHeight="1" ht="11.25">
      <c r="A794" s="1854" t="s">
        <v>2542</v>
      </c>
      <c r="B794" s="1854" t="s">
        <v>16</v>
      </c>
      <c r="C794" s="1854" t="s">
        <v>3463</v>
      </c>
      <c r="D794" s="1854" t="s">
        <v>3464</v>
      </c>
      <c r="E794" s="1854" t="s">
        <v>3465</v>
      </c>
      <c r="F794" s="1854" t="s">
        <v>2584</v>
      </c>
      <c r="G794" s="1854" t="s">
        <v>22</v>
      </c>
      <c r="H794" s="1854" t="s">
        <v>22</v>
      </c>
      <c r="I794" s="1854" t="s">
        <v>1118</v>
      </c>
    </row>
    <row customHeight="1" ht="11.25">
      <c r="A795" s="1854" t="s">
        <v>2542</v>
      </c>
      <c r="B795" s="1854" t="s">
        <v>16</v>
      </c>
      <c r="C795" s="1854" t="s">
        <v>3483</v>
      </c>
      <c r="D795" s="1854" t="s">
        <v>3484</v>
      </c>
      <c r="E795" s="1854" t="s">
        <v>3485</v>
      </c>
      <c r="F795" s="1854" t="s">
        <v>2679</v>
      </c>
      <c r="G795" s="1854" t="s">
        <v>22</v>
      </c>
      <c r="H795" s="1854" t="s">
        <v>22</v>
      </c>
      <c r="I795" s="1854" t="s">
        <v>1118</v>
      </c>
    </row>
    <row customHeight="1" ht="11.25">
      <c r="A796" s="1854" t="s">
        <v>2542</v>
      </c>
      <c r="B796" s="1854" t="s">
        <v>16</v>
      </c>
      <c r="C796" s="1854" t="s">
        <v>4213</v>
      </c>
      <c r="D796" s="1854" t="s">
        <v>3484</v>
      </c>
      <c r="E796" s="1854" t="s">
        <v>4214</v>
      </c>
      <c r="F796" s="1854" t="s">
        <v>2550</v>
      </c>
      <c r="G796" s="1854" t="s">
        <v>22</v>
      </c>
      <c r="H796" s="1854" t="s">
        <v>22</v>
      </c>
      <c r="I796" s="1854" t="s">
        <v>1118</v>
      </c>
    </row>
    <row customHeight="1" ht="11.25">
      <c r="A797" s="1854" t="s">
        <v>2542</v>
      </c>
      <c r="B797" s="1854" t="s">
        <v>16</v>
      </c>
      <c r="C797" s="1854" t="s">
        <v>3486</v>
      </c>
      <c r="D797" s="1854" t="s">
        <v>3487</v>
      </c>
      <c r="E797" s="1854" t="s">
        <v>3488</v>
      </c>
      <c r="F797" s="1854" t="s">
        <v>2828</v>
      </c>
      <c r="G797" s="1854" t="s">
        <v>22</v>
      </c>
      <c r="H797" s="1854" t="s">
        <v>22</v>
      </c>
      <c r="I797" s="1854" t="s">
        <v>1118</v>
      </c>
    </row>
    <row customHeight="1" ht="11.25">
      <c r="A798" s="1854" t="s">
        <v>2542</v>
      </c>
      <c r="B798" s="1854" t="s">
        <v>16</v>
      </c>
      <c r="C798" s="1854" t="s">
        <v>4215</v>
      </c>
      <c r="D798" s="1854" t="s">
        <v>4216</v>
      </c>
      <c r="E798" s="1854" t="s">
        <v>4217</v>
      </c>
      <c r="F798" s="1854" t="s">
        <v>2999</v>
      </c>
      <c r="G798" s="1854" t="s">
        <v>22</v>
      </c>
      <c r="H798" s="1854" t="s">
        <v>22</v>
      </c>
      <c r="I798" s="1854" t="s">
        <v>1118</v>
      </c>
    </row>
    <row customHeight="1" ht="11.25">
      <c r="A799" s="1854" t="s">
        <v>2542</v>
      </c>
      <c r="B799" s="1854" t="s">
        <v>16</v>
      </c>
      <c r="C799" s="1854" t="s">
        <v>4218</v>
      </c>
      <c r="D799" s="1854" t="s">
        <v>4219</v>
      </c>
      <c r="E799" s="1854" t="s">
        <v>4220</v>
      </c>
      <c r="F799" s="1854" t="s">
        <v>2973</v>
      </c>
      <c r="G799" s="1854" t="s">
        <v>22</v>
      </c>
      <c r="H799" s="1854" t="s">
        <v>22</v>
      </c>
      <c r="I799" s="1854" t="s">
        <v>1118</v>
      </c>
    </row>
    <row customHeight="1" ht="11.25">
      <c r="A800" s="1854" t="s">
        <v>2542</v>
      </c>
      <c r="B800" s="1854" t="s">
        <v>16</v>
      </c>
      <c r="C800" s="1854" t="s">
        <v>4221</v>
      </c>
      <c r="D800" s="1854" t="s">
        <v>4222</v>
      </c>
      <c r="E800" s="1854" t="s">
        <v>4223</v>
      </c>
      <c r="F800" s="1854" t="s">
        <v>2606</v>
      </c>
      <c r="G800" s="1854" t="s">
        <v>22</v>
      </c>
      <c r="H800" s="1854" t="s">
        <v>22</v>
      </c>
      <c r="I800" s="1854" t="s">
        <v>1118</v>
      </c>
    </row>
    <row customHeight="1" ht="11.25">
      <c r="A801" s="1854" t="s">
        <v>2542</v>
      </c>
      <c r="B801" s="1854" t="s">
        <v>16</v>
      </c>
      <c r="C801" s="1854" t="s">
        <v>3502</v>
      </c>
      <c r="D801" s="1854" t="s">
        <v>3503</v>
      </c>
      <c r="E801" s="1854" t="s">
        <v>3504</v>
      </c>
      <c r="F801" s="1854" t="s">
        <v>3102</v>
      </c>
      <c r="G801" s="1854" t="s">
        <v>3505</v>
      </c>
      <c r="H801" s="1854" t="s">
        <v>22</v>
      </c>
      <c r="I801" s="1854" t="s">
        <v>1118</v>
      </c>
    </row>
    <row customHeight="1" ht="11.25">
      <c r="A802" s="1854" t="s">
        <v>2542</v>
      </c>
      <c r="B802" s="1854" t="s">
        <v>16</v>
      </c>
      <c r="C802" s="1854" t="s">
        <v>4224</v>
      </c>
      <c r="D802" s="1854" t="s">
        <v>4225</v>
      </c>
      <c r="E802" s="1854" t="s">
        <v>4226</v>
      </c>
      <c r="F802" s="1854" t="s">
        <v>3256</v>
      </c>
      <c r="G802" s="1854" t="s">
        <v>22</v>
      </c>
      <c r="H802" s="1854" t="s">
        <v>22</v>
      </c>
      <c r="I802" s="1854" t="s">
        <v>1118</v>
      </c>
    </row>
    <row customHeight="1" ht="11.25">
      <c r="A803" s="1854" t="s">
        <v>2542</v>
      </c>
      <c r="B803" s="1854" t="s">
        <v>16</v>
      </c>
      <c r="C803" s="1854" t="s">
        <v>3525</v>
      </c>
      <c r="D803" s="1854" t="s">
        <v>3526</v>
      </c>
      <c r="E803" s="1854" t="s">
        <v>3527</v>
      </c>
      <c r="F803" s="1854" t="s">
        <v>50</v>
      </c>
      <c r="G803" s="1854" t="s">
        <v>22</v>
      </c>
      <c r="H803" s="1854" t="s">
        <v>22</v>
      </c>
      <c r="I803" s="1854" t="s">
        <v>1118</v>
      </c>
    </row>
    <row customHeight="1" ht="11.25">
      <c r="A804" s="1854" t="s">
        <v>2542</v>
      </c>
      <c r="B804" s="1854" t="s">
        <v>16</v>
      </c>
      <c r="C804" s="1854" t="s">
        <v>4227</v>
      </c>
      <c r="D804" s="1854" t="s">
        <v>4228</v>
      </c>
      <c r="E804" s="1854" t="s">
        <v>4229</v>
      </c>
      <c r="F804" s="1854" t="s">
        <v>2844</v>
      </c>
      <c r="G804" s="1854" t="s">
        <v>22</v>
      </c>
      <c r="H804" s="1854" t="s">
        <v>22</v>
      </c>
      <c r="I804" s="1854" t="s">
        <v>1118</v>
      </c>
    </row>
    <row customHeight="1" ht="11.25">
      <c r="A805" s="1854" t="s">
        <v>2542</v>
      </c>
      <c r="B805" s="1854" t="s">
        <v>16</v>
      </c>
      <c r="C805" s="1854" t="s">
        <v>3534</v>
      </c>
      <c r="D805" s="1854" t="s">
        <v>3535</v>
      </c>
      <c r="E805" s="1854" t="s">
        <v>3536</v>
      </c>
      <c r="F805" s="1854" t="s">
        <v>2743</v>
      </c>
      <c r="G805" s="1854" t="s">
        <v>22</v>
      </c>
      <c r="H805" s="1854" t="s">
        <v>22</v>
      </c>
      <c r="I805" s="1854" t="s">
        <v>1118</v>
      </c>
    </row>
    <row customHeight="1" ht="11.25">
      <c r="A806" s="1854" t="s">
        <v>2542</v>
      </c>
      <c r="B806" s="1854" t="s">
        <v>16</v>
      </c>
      <c r="C806" s="1854" t="s">
        <v>4230</v>
      </c>
      <c r="D806" s="1854" t="s">
        <v>4231</v>
      </c>
      <c r="E806" s="1854" t="s">
        <v>4232</v>
      </c>
      <c r="F806" s="1854" t="s">
        <v>3302</v>
      </c>
      <c r="G806" s="1854" t="s">
        <v>4233</v>
      </c>
      <c r="H806" s="1854" t="s">
        <v>22</v>
      </c>
      <c r="I806" s="1854" t="s">
        <v>1118</v>
      </c>
    </row>
    <row customHeight="1" ht="11.25">
      <c r="A807" s="1854" t="s">
        <v>2542</v>
      </c>
      <c r="B807" s="1854" t="s">
        <v>16</v>
      </c>
      <c r="C807" s="1854" t="s">
        <v>3597</v>
      </c>
      <c r="D807" s="1854" t="s">
        <v>3598</v>
      </c>
      <c r="E807" s="1854" t="s">
        <v>3599</v>
      </c>
      <c r="F807" s="1854" t="s">
        <v>3600</v>
      </c>
      <c r="G807" s="1854" t="s">
        <v>22</v>
      </c>
      <c r="H807" s="1854" t="s">
        <v>22</v>
      </c>
      <c r="I807" s="1854" t="s">
        <v>1118</v>
      </c>
    </row>
    <row customHeight="1" ht="11.25">
      <c r="A808" s="1854" t="s">
        <v>2542</v>
      </c>
      <c r="B808" s="1854" t="s">
        <v>16</v>
      </c>
      <c r="C808" s="1854" t="s">
        <v>4234</v>
      </c>
      <c r="D808" s="1854" t="s">
        <v>4235</v>
      </c>
      <c r="E808" s="1854" t="s">
        <v>4236</v>
      </c>
      <c r="F808" s="1854" t="s">
        <v>2599</v>
      </c>
      <c r="G808" s="1854" t="s">
        <v>22</v>
      </c>
      <c r="H808" s="1854" t="s">
        <v>22</v>
      </c>
      <c r="I808" s="1854" t="s">
        <v>1118</v>
      </c>
    </row>
    <row customHeight="1" ht="11.25">
      <c r="A809" s="1854" t="s">
        <v>2542</v>
      </c>
      <c r="B809" s="1854" t="s">
        <v>16</v>
      </c>
      <c r="C809" s="1854" t="s">
        <v>4237</v>
      </c>
      <c r="D809" s="1854" t="s">
        <v>4238</v>
      </c>
      <c r="E809" s="1854" t="s">
        <v>4239</v>
      </c>
      <c r="F809" s="1854" t="s">
        <v>2563</v>
      </c>
      <c r="G809" s="1854" t="s">
        <v>22</v>
      </c>
      <c r="H809" s="1854" t="s">
        <v>22</v>
      </c>
      <c r="I809" s="1854" t="s">
        <v>1118</v>
      </c>
    </row>
    <row customHeight="1" ht="11.25">
      <c r="A810" s="1854" t="s">
        <v>2542</v>
      </c>
      <c r="B810" s="1854" t="s">
        <v>16</v>
      </c>
      <c r="C810" s="1854" t="s">
        <v>4240</v>
      </c>
      <c r="D810" s="1854" t="s">
        <v>4241</v>
      </c>
      <c r="E810" s="1854" t="s">
        <v>4242</v>
      </c>
      <c r="F810" s="1854" t="s">
        <v>3592</v>
      </c>
      <c r="G810" s="1854" t="s">
        <v>22</v>
      </c>
      <c r="H810" s="1854" t="s">
        <v>22</v>
      </c>
      <c r="I810" s="1854" t="s">
        <v>1118</v>
      </c>
    </row>
    <row customHeight="1" ht="11.25">
      <c r="A811" s="1854" t="s">
        <v>2542</v>
      </c>
      <c r="B811" s="1854" t="s">
        <v>16</v>
      </c>
      <c r="C811" s="1854" t="s">
        <v>4243</v>
      </c>
      <c r="D811" s="1854" t="s">
        <v>4244</v>
      </c>
      <c r="E811" s="1854" t="s">
        <v>4245</v>
      </c>
      <c r="F811" s="1854" t="s">
        <v>2606</v>
      </c>
      <c r="G811" s="1854" t="s">
        <v>4246</v>
      </c>
      <c r="H811" s="1854" t="s">
        <v>22</v>
      </c>
      <c r="I811" s="1854" t="s">
        <v>1118</v>
      </c>
    </row>
    <row customHeight="1" ht="11.25">
      <c r="A812" s="1854" t="s">
        <v>2542</v>
      </c>
      <c r="B812" s="1854" t="s">
        <v>16</v>
      </c>
      <c r="C812" s="1854" t="s">
        <v>4247</v>
      </c>
      <c r="D812" s="1854" t="s">
        <v>4248</v>
      </c>
      <c r="E812" s="1854" t="s">
        <v>4249</v>
      </c>
      <c r="F812" s="1854" t="s">
        <v>2606</v>
      </c>
      <c r="G812" s="1854" t="s">
        <v>22</v>
      </c>
      <c r="H812" s="1854" t="s">
        <v>22</v>
      </c>
      <c r="I812" s="1854" t="s">
        <v>1118</v>
      </c>
    </row>
    <row customHeight="1" ht="11.25">
      <c r="A813" s="1854" t="s">
        <v>2542</v>
      </c>
      <c r="B813" s="1854" t="s">
        <v>16</v>
      </c>
      <c r="C813" s="1854" t="s">
        <v>4250</v>
      </c>
      <c r="D813" s="1854" t="s">
        <v>4251</v>
      </c>
      <c r="E813" s="1854" t="s">
        <v>4252</v>
      </c>
      <c r="F813" s="1854" t="s">
        <v>3102</v>
      </c>
      <c r="G813" s="1854" t="s">
        <v>4253</v>
      </c>
      <c r="H813" s="1854" t="s">
        <v>22</v>
      </c>
      <c r="I813" s="1854" t="s">
        <v>1118</v>
      </c>
    </row>
    <row customHeight="1" ht="11.25">
      <c r="A814" s="1854" t="s">
        <v>2542</v>
      </c>
      <c r="B814" s="1854" t="s">
        <v>16</v>
      </c>
      <c r="C814" s="1854" t="s">
        <v>3618</v>
      </c>
      <c r="D814" s="1854" t="s">
        <v>3619</v>
      </c>
      <c r="E814" s="1854" t="s">
        <v>3620</v>
      </c>
      <c r="F814" s="1854" t="s">
        <v>2599</v>
      </c>
      <c r="G814" s="1854" t="s">
        <v>22</v>
      </c>
      <c r="H814" s="1854" t="s">
        <v>22</v>
      </c>
      <c r="I814" s="1854" t="s">
        <v>1118</v>
      </c>
    </row>
    <row customHeight="1" ht="11.25">
      <c r="A815" s="1854" t="s">
        <v>2542</v>
      </c>
      <c r="B815" s="1854" t="s">
        <v>16</v>
      </c>
      <c r="C815" s="1854" t="s">
        <v>3621</v>
      </c>
      <c r="D815" s="1854" t="s">
        <v>3622</v>
      </c>
      <c r="E815" s="1854" t="s">
        <v>3623</v>
      </c>
      <c r="F815" s="1854" t="s">
        <v>2794</v>
      </c>
      <c r="G815" s="1854" t="s">
        <v>22</v>
      </c>
      <c r="H815" s="1854" t="s">
        <v>22</v>
      </c>
      <c r="I815" s="1854" t="s">
        <v>1118</v>
      </c>
    </row>
    <row customHeight="1" ht="11.25">
      <c r="A816" s="1854" t="s">
        <v>2542</v>
      </c>
      <c r="B816" s="1854" t="s">
        <v>16</v>
      </c>
      <c r="C816" s="1854" t="s">
        <v>3644</v>
      </c>
      <c r="D816" s="1854" t="s">
        <v>3645</v>
      </c>
      <c r="E816" s="1854" t="s">
        <v>3646</v>
      </c>
      <c r="F816" s="1854" t="s">
        <v>2973</v>
      </c>
      <c r="G816" s="1854" t="s">
        <v>3647</v>
      </c>
      <c r="H816" s="1854" t="s">
        <v>22</v>
      </c>
      <c r="I816" s="1854" t="s">
        <v>1118</v>
      </c>
    </row>
    <row customHeight="1" ht="11.25">
      <c r="A817" s="1854" t="s">
        <v>2542</v>
      </c>
      <c r="B817" s="1854" t="s">
        <v>16</v>
      </c>
      <c r="C817" s="1854" t="s">
        <v>4254</v>
      </c>
      <c r="D817" s="1854" t="s">
        <v>4255</v>
      </c>
      <c r="E817" s="1854" t="s">
        <v>4256</v>
      </c>
      <c r="F817" s="1854" t="s">
        <v>2991</v>
      </c>
      <c r="G817" s="1854" t="s">
        <v>22</v>
      </c>
      <c r="H817" s="1854" t="s">
        <v>22</v>
      </c>
      <c r="I817" s="1854" t="s">
        <v>1118</v>
      </c>
    </row>
    <row customHeight="1" ht="11.25">
      <c r="A818" s="1854" t="s">
        <v>2542</v>
      </c>
      <c r="B818" s="1854" t="s">
        <v>16</v>
      </c>
      <c r="C818" s="1854" t="s">
        <v>3660</v>
      </c>
      <c r="D818" s="1854" t="s">
        <v>3661</v>
      </c>
      <c r="E818" s="1854" t="s">
        <v>3662</v>
      </c>
      <c r="F818" s="1854" t="s">
        <v>2743</v>
      </c>
      <c r="G818" s="1854" t="s">
        <v>22</v>
      </c>
      <c r="H818" s="1854" t="s">
        <v>22</v>
      </c>
      <c r="I818" s="1854" t="s">
        <v>1118</v>
      </c>
    </row>
    <row customHeight="1" ht="11.25">
      <c r="A819" s="1854" t="s">
        <v>2542</v>
      </c>
      <c r="B819" s="1854" t="s">
        <v>16</v>
      </c>
      <c r="C819" s="1854" t="s">
        <v>3663</v>
      </c>
      <c r="D819" s="1854" t="s">
        <v>3664</v>
      </c>
      <c r="E819" s="1854" t="s">
        <v>3665</v>
      </c>
      <c r="F819" s="1854" t="s">
        <v>2610</v>
      </c>
      <c r="G819" s="1854" t="s">
        <v>22</v>
      </c>
      <c r="H819" s="1854" t="s">
        <v>22</v>
      </c>
      <c r="I819" s="1854" t="s">
        <v>1118</v>
      </c>
    </row>
    <row customHeight="1" ht="11.25">
      <c r="A820" s="1854" t="s">
        <v>2542</v>
      </c>
      <c r="B820" s="1854" t="s">
        <v>16</v>
      </c>
      <c r="C820" s="1854" t="s">
        <v>3684</v>
      </c>
      <c r="D820" s="1854" t="s">
        <v>3685</v>
      </c>
      <c r="E820" s="1854" t="s">
        <v>3686</v>
      </c>
      <c r="F820" s="1854" t="s">
        <v>2591</v>
      </c>
      <c r="G820" s="1854" t="s">
        <v>22</v>
      </c>
      <c r="H820" s="1854" t="s">
        <v>22</v>
      </c>
      <c r="I820" s="1854" t="s">
        <v>1118</v>
      </c>
    </row>
    <row customHeight="1" ht="11.25">
      <c r="A821" s="1854" t="s">
        <v>2542</v>
      </c>
      <c r="B821" s="1854" t="s">
        <v>16</v>
      </c>
      <c r="C821" s="1854" t="s">
        <v>4257</v>
      </c>
      <c r="D821" s="1854" t="s">
        <v>4258</v>
      </c>
      <c r="E821" s="1854" t="s">
        <v>4259</v>
      </c>
      <c r="F821" s="1854" t="s">
        <v>2606</v>
      </c>
      <c r="G821" s="1854" t="s">
        <v>22</v>
      </c>
      <c r="H821" s="1854" t="s">
        <v>22</v>
      </c>
      <c r="I821" s="1854" t="s">
        <v>1118</v>
      </c>
    </row>
    <row customHeight="1" ht="11.25">
      <c r="A822" s="1854" t="s">
        <v>2542</v>
      </c>
      <c r="B822" s="1854" t="s">
        <v>16</v>
      </c>
      <c r="C822" s="1854" t="s">
        <v>3696</v>
      </c>
      <c r="D822" s="1854" t="s">
        <v>3697</v>
      </c>
      <c r="E822" s="1854" t="s">
        <v>3698</v>
      </c>
      <c r="F822" s="1854" t="s">
        <v>2610</v>
      </c>
      <c r="G822" s="1854" t="s">
        <v>22</v>
      </c>
      <c r="H822" s="1854" t="s">
        <v>22</v>
      </c>
      <c r="I822" s="1854" t="s">
        <v>1118</v>
      </c>
    </row>
    <row customHeight="1" ht="11.25">
      <c r="A823" s="1854" t="s">
        <v>2542</v>
      </c>
      <c r="B823" s="1854" t="s">
        <v>16</v>
      </c>
      <c r="C823" s="1854" t="s">
        <v>3722</v>
      </c>
      <c r="D823" s="1854" t="s">
        <v>3723</v>
      </c>
      <c r="E823" s="1854" t="s">
        <v>3724</v>
      </c>
      <c r="F823" s="1854" t="s">
        <v>2573</v>
      </c>
      <c r="G823" s="1854" t="s">
        <v>22</v>
      </c>
      <c r="H823" s="1854" t="s">
        <v>22</v>
      </c>
      <c r="I823" s="1854" t="s">
        <v>1118</v>
      </c>
    </row>
    <row customHeight="1" ht="11.25">
      <c r="A824" s="1854" t="s">
        <v>2542</v>
      </c>
      <c r="B824" s="1854" t="s">
        <v>16</v>
      </c>
      <c r="C824" s="1854" t="s">
        <v>4260</v>
      </c>
      <c r="D824" s="1854" t="s">
        <v>4261</v>
      </c>
      <c r="E824" s="1854" t="s">
        <v>4262</v>
      </c>
      <c r="F824" s="1854" t="s">
        <v>2821</v>
      </c>
      <c r="G824" s="1854" t="s">
        <v>22</v>
      </c>
      <c r="H824" s="1854" t="s">
        <v>22</v>
      </c>
      <c r="I824" s="1854" t="s">
        <v>1118</v>
      </c>
    </row>
    <row customHeight="1" ht="11.25">
      <c r="A825" s="1854" t="s">
        <v>2542</v>
      </c>
      <c r="B825" s="1854" t="s">
        <v>16</v>
      </c>
      <c r="C825" s="1854" t="s">
        <v>4263</v>
      </c>
      <c r="D825" s="1854" t="s">
        <v>4264</v>
      </c>
      <c r="E825" s="1854" t="s">
        <v>4265</v>
      </c>
      <c r="F825" s="1854" t="s">
        <v>2805</v>
      </c>
      <c r="G825" s="1854" t="s">
        <v>22</v>
      </c>
      <c r="H825" s="1854" t="s">
        <v>22</v>
      </c>
      <c r="I825" s="1854" t="s">
        <v>1118</v>
      </c>
    </row>
    <row customHeight="1" ht="11.25">
      <c r="A826" s="1854" t="s">
        <v>2542</v>
      </c>
      <c r="B826" s="1854" t="s">
        <v>16</v>
      </c>
      <c r="C826" s="1854" t="s">
        <v>4266</v>
      </c>
      <c r="D826" s="1854" t="s">
        <v>4267</v>
      </c>
      <c r="E826" s="1854" t="s">
        <v>4268</v>
      </c>
      <c r="F826" s="1854" t="s">
        <v>2828</v>
      </c>
      <c r="G826" s="1854" t="s">
        <v>22</v>
      </c>
      <c r="H826" s="1854" t="s">
        <v>22</v>
      </c>
      <c r="I826" s="1854" t="s">
        <v>1118</v>
      </c>
    </row>
    <row customHeight="1" ht="11.25">
      <c r="A827" s="1854" t="s">
        <v>2542</v>
      </c>
      <c r="B827" s="1854" t="s">
        <v>16</v>
      </c>
      <c r="C827" s="1854" t="s">
        <v>4269</v>
      </c>
      <c r="D827" s="1854" t="s">
        <v>4270</v>
      </c>
      <c r="E827" s="1854" t="s">
        <v>4271</v>
      </c>
      <c r="F827" s="1854" t="s">
        <v>2606</v>
      </c>
      <c r="G827" s="1854" t="s">
        <v>22</v>
      </c>
      <c r="H827" s="1854" t="s">
        <v>22</v>
      </c>
      <c r="I827" s="1854" t="s">
        <v>1118</v>
      </c>
    </row>
    <row customHeight="1" ht="11.25">
      <c r="A828" s="1854" t="s">
        <v>2542</v>
      </c>
      <c r="B828" s="1854" t="s">
        <v>16</v>
      </c>
      <c r="C828" s="1854" t="s">
        <v>4272</v>
      </c>
      <c r="D828" s="1854" t="s">
        <v>4273</v>
      </c>
      <c r="E828" s="1854" t="s">
        <v>4274</v>
      </c>
      <c r="F828" s="1854" t="s">
        <v>2844</v>
      </c>
      <c r="G828" s="1854" t="s">
        <v>22</v>
      </c>
      <c r="H828" s="1854" t="s">
        <v>22</v>
      </c>
      <c r="I828" s="1854" t="s">
        <v>1118</v>
      </c>
    </row>
    <row customHeight="1" ht="11.25">
      <c r="A829" s="1854" t="s">
        <v>2542</v>
      </c>
      <c r="B829" s="1854" t="s">
        <v>16</v>
      </c>
      <c r="C829" s="1854" t="s">
        <v>4275</v>
      </c>
      <c r="D829" s="1854" t="s">
        <v>4276</v>
      </c>
      <c r="E829" s="1854" t="s">
        <v>4277</v>
      </c>
      <c r="F829" s="1854" t="s">
        <v>3256</v>
      </c>
      <c r="G829" s="1854" t="s">
        <v>22</v>
      </c>
      <c r="H829" s="1854" t="s">
        <v>22</v>
      </c>
      <c r="I829" s="1854" t="s">
        <v>1118</v>
      </c>
    </row>
    <row customHeight="1" ht="11.25">
      <c r="A830" s="1854" t="s">
        <v>2542</v>
      </c>
      <c r="B830" s="1854" t="s">
        <v>16</v>
      </c>
      <c r="C830" s="1854" t="s">
        <v>4278</v>
      </c>
      <c r="D830" s="1854" t="s">
        <v>4279</v>
      </c>
      <c r="E830" s="1854" t="s">
        <v>4280</v>
      </c>
      <c r="F830" s="1854" t="s">
        <v>2821</v>
      </c>
      <c r="G830" s="1854" t="s">
        <v>22</v>
      </c>
      <c r="H830" s="1854" t="s">
        <v>22</v>
      </c>
      <c r="I830" s="1854" t="s">
        <v>1118</v>
      </c>
    </row>
    <row customHeight="1" ht="11.25">
      <c r="A831" s="1854" t="s">
        <v>2542</v>
      </c>
      <c r="B831" s="1854" t="s">
        <v>16</v>
      </c>
      <c r="C831" s="1854" t="s">
        <v>4281</v>
      </c>
      <c r="D831" s="1854" t="s">
        <v>4282</v>
      </c>
      <c r="E831" s="1854" t="s">
        <v>4283</v>
      </c>
      <c r="F831" s="1854" t="s">
        <v>2933</v>
      </c>
      <c r="G831" s="1854" t="s">
        <v>22</v>
      </c>
      <c r="H831" s="1854" t="s">
        <v>22</v>
      </c>
      <c r="I831" s="1854" t="s">
        <v>1118</v>
      </c>
    </row>
    <row customHeight="1" ht="11.25">
      <c r="A832" s="1854" t="s">
        <v>2542</v>
      </c>
      <c r="B832" s="1854" t="s">
        <v>16</v>
      </c>
      <c r="C832" s="1854" t="s">
        <v>3841</v>
      </c>
      <c r="D832" s="1854" t="s">
        <v>3842</v>
      </c>
      <c r="E832" s="1854" t="s">
        <v>2594</v>
      </c>
      <c r="F832" s="1854" t="s">
        <v>3843</v>
      </c>
      <c r="G832" s="1854" t="s">
        <v>22</v>
      </c>
      <c r="H832" s="1854" t="s">
        <v>22</v>
      </c>
      <c r="I832" s="1854" t="s">
        <v>1118</v>
      </c>
    </row>
    <row customHeight="1" ht="11.25">
      <c r="A833" s="1854" t="s">
        <v>2542</v>
      </c>
      <c r="B833" s="1854" t="s">
        <v>16</v>
      </c>
      <c r="C833" s="1854" t="s">
        <v>4284</v>
      </c>
      <c r="D833" s="1854" t="s">
        <v>4285</v>
      </c>
      <c r="E833" s="1854" t="s">
        <v>4286</v>
      </c>
      <c r="F833" s="1854" t="s">
        <v>2821</v>
      </c>
      <c r="G833" s="1854" t="s">
        <v>22</v>
      </c>
      <c r="H833" s="1854" t="s">
        <v>22</v>
      </c>
      <c r="I833" s="1854" t="s">
        <v>1118</v>
      </c>
    </row>
    <row customHeight="1" ht="11.25">
      <c r="A834" s="1854" t="s">
        <v>2542</v>
      </c>
      <c r="B834" s="1854" t="s">
        <v>16</v>
      </c>
      <c r="C834" s="1854" t="s">
        <v>3848</v>
      </c>
      <c r="D834" s="1854" t="s">
        <v>3849</v>
      </c>
      <c r="E834" s="1854" t="s">
        <v>3850</v>
      </c>
      <c r="F834" s="1854" t="s">
        <v>2973</v>
      </c>
      <c r="G834" s="1854" t="s">
        <v>22</v>
      </c>
      <c r="H834" s="1854" t="s">
        <v>22</v>
      </c>
      <c r="I834" s="1854" t="s">
        <v>1118</v>
      </c>
    </row>
    <row customHeight="1" ht="11.25">
      <c r="A835" s="1854" t="s">
        <v>2542</v>
      </c>
      <c r="B835" s="1854" t="s">
        <v>16</v>
      </c>
      <c r="C835" s="1854" t="s">
        <v>3851</v>
      </c>
      <c r="D835" s="1854" t="s">
        <v>3852</v>
      </c>
      <c r="E835" s="1854" t="s">
        <v>3853</v>
      </c>
      <c r="F835" s="1854" t="s">
        <v>2620</v>
      </c>
      <c r="G835" s="1854" t="s">
        <v>22</v>
      </c>
      <c r="H835" s="1854" t="s">
        <v>22</v>
      </c>
      <c r="I835" s="1854" t="s">
        <v>1118</v>
      </c>
    </row>
    <row customHeight="1" ht="11.25">
      <c r="A836" s="1854" t="s">
        <v>2542</v>
      </c>
      <c r="B836" s="1854" t="s">
        <v>16</v>
      </c>
      <c r="C836" s="1854" t="s">
        <v>3854</v>
      </c>
      <c r="D836" s="1854" t="s">
        <v>3855</v>
      </c>
      <c r="E836" s="1854" t="s">
        <v>3856</v>
      </c>
      <c r="F836" s="1854" t="s">
        <v>2599</v>
      </c>
      <c r="G836" s="1854" t="s">
        <v>22</v>
      </c>
      <c r="H836" s="1854" t="s">
        <v>22</v>
      </c>
      <c r="I836" s="1854" t="s">
        <v>1118</v>
      </c>
    </row>
    <row customHeight="1" ht="11.25">
      <c r="A837" s="1854" t="s">
        <v>2542</v>
      </c>
      <c r="B837" s="1854" t="s">
        <v>16</v>
      </c>
      <c r="C837" s="1854" t="s">
        <v>3861</v>
      </c>
      <c r="D837" s="1854" t="s">
        <v>3862</v>
      </c>
      <c r="E837" s="1854" t="s">
        <v>3863</v>
      </c>
      <c r="F837" s="1854" t="s">
        <v>2729</v>
      </c>
      <c r="G837" s="1854" t="s">
        <v>22</v>
      </c>
      <c r="H837" s="1854" t="s">
        <v>22</v>
      </c>
      <c r="I837" s="1854" t="s">
        <v>1118</v>
      </c>
    </row>
    <row customHeight="1" ht="11.25">
      <c r="A838" s="1854" t="s">
        <v>2542</v>
      </c>
      <c r="B838" s="1854" t="s">
        <v>16</v>
      </c>
      <c r="C838" s="1854" t="s">
        <v>3873</v>
      </c>
      <c r="D838" s="1854" t="s">
        <v>3874</v>
      </c>
      <c r="E838" s="1854" t="s">
        <v>3875</v>
      </c>
      <c r="F838" s="1854" t="s">
        <v>3052</v>
      </c>
      <c r="G838" s="1854" t="s">
        <v>22</v>
      </c>
      <c r="H838" s="1854" t="s">
        <v>22</v>
      </c>
      <c r="I838" s="1854" t="s">
        <v>1118</v>
      </c>
    </row>
    <row customHeight="1" ht="11.25">
      <c r="A839" s="1854" t="s">
        <v>2542</v>
      </c>
      <c r="B839" s="1854" t="s">
        <v>16</v>
      </c>
      <c r="C839" s="1854" t="s">
        <v>3882</v>
      </c>
      <c r="D839" s="1854" t="s">
        <v>3883</v>
      </c>
      <c r="E839" s="1854" t="s">
        <v>3884</v>
      </c>
      <c r="F839" s="1854" t="s">
        <v>2743</v>
      </c>
      <c r="G839" s="1854" t="s">
        <v>22</v>
      </c>
      <c r="H839" s="1854" t="s">
        <v>22</v>
      </c>
      <c r="I839" s="1854" t="s">
        <v>1118</v>
      </c>
    </row>
    <row customHeight="1" ht="11.25">
      <c r="A840" s="1854" t="s">
        <v>2542</v>
      </c>
      <c r="B840" s="1854" t="s">
        <v>16</v>
      </c>
      <c r="C840" s="1854" t="s">
        <v>3885</v>
      </c>
      <c r="D840" s="1854" t="s">
        <v>3886</v>
      </c>
      <c r="E840" s="1854" t="s">
        <v>3887</v>
      </c>
      <c r="F840" s="1854" t="s">
        <v>2984</v>
      </c>
      <c r="G840" s="1854" t="s">
        <v>22</v>
      </c>
      <c r="H840" s="1854" t="s">
        <v>22</v>
      </c>
      <c r="I840" s="1854" t="s">
        <v>1118</v>
      </c>
    </row>
    <row customHeight="1" ht="11.25">
      <c r="A841" s="1854" t="s">
        <v>2542</v>
      </c>
      <c r="B841" s="1854" t="s">
        <v>16</v>
      </c>
      <c r="C841" s="1854" t="s">
        <v>22</v>
      </c>
      <c r="D841" s="1854" t="s">
        <v>3888</v>
      </c>
      <c r="E841" s="1854" t="s">
        <v>3889</v>
      </c>
      <c r="F841" s="1854" t="s">
        <v>2550</v>
      </c>
      <c r="G841" s="1854" t="s">
        <v>22</v>
      </c>
      <c r="H841" s="1854" t="s">
        <v>22</v>
      </c>
      <c r="I841" s="1854" t="s">
        <v>1118</v>
      </c>
    </row>
    <row customHeight="1" ht="11.25">
      <c r="A842" s="1854" t="s">
        <v>2542</v>
      </c>
      <c r="B842" s="1854" t="s">
        <v>16</v>
      </c>
      <c r="C842" s="1854" t="s">
        <v>4287</v>
      </c>
      <c r="D842" s="1854" t="s">
        <v>4288</v>
      </c>
      <c r="E842" s="1854" t="s">
        <v>4289</v>
      </c>
      <c r="F842" s="1854" t="s">
        <v>3181</v>
      </c>
      <c r="G842" s="1854" t="s">
        <v>22</v>
      </c>
      <c r="H842" s="1854" t="s">
        <v>22</v>
      </c>
      <c r="I842" s="1854" t="s">
        <v>1118</v>
      </c>
    </row>
    <row customHeight="1" ht="11.25">
      <c r="A843" s="1854" t="s">
        <v>2542</v>
      </c>
      <c r="B843" s="1854" t="s">
        <v>16</v>
      </c>
      <c r="C843" s="1854" t="s">
        <v>3890</v>
      </c>
      <c r="D843" s="1854" t="s">
        <v>3891</v>
      </c>
      <c r="E843" s="1854" t="s">
        <v>3892</v>
      </c>
      <c r="F843" s="1854" t="s">
        <v>3224</v>
      </c>
      <c r="G843" s="1854" t="s">
        <v>22</v>
      </c>
      <c r="H843" s="1854" t="s">
        <v>22</v>
      </c>
      <c r="I843" s="1854" t="s">
        <v>1118</v>
      </c>
    </row>
    <row customHeight="1" ht="11.25">
      <c r="A844" s="1854" t="s">
        <v>2542</v>
      </c>
      <c r="B844" s="1854" t="s">
        <v>16</v>
      </c>
      <c r="C844" s="1854" t="s">
        <v>3893</v>
      </c>
      <c r="D844" s="1854" t="s">
        <v>3894</v>
      </c>
      <c r="E844" s="1854" t="s">
        <v>3895</v>
      </c>
      <c r="F844" s="1854" t="s">
        <v>2785</v>
      </c>
      <c r="G844" s="1854" t="s">
        <v>3896</v>
      </c>
      <c r="H844" s="1854" t="s">
        <v>22</v>
      </c>
      <c r="I844" s="1854" t="s">
        <v>1118</v>
      </c>
    </row>
    <row customHeight="1" ht="11.25">
      <c r="A845" s="1854" t="s">
        <v>2542</v>
      </c>
      <c r="B845" s="1854" t="s">
        <v>16</v>
      </c>
      <c r="C845" s="1854" t="s">
        <v>4290</v>
      </c>
      <c r="D845" s="1854" t="s">
        <v>4291</v>
      </c>
      <c r="E845" s="1854" t="s">
        <v>4292</v>
      </c>
      <c r="F845" s="1854" t="s">
        <v>2984</v>
      </c>
      <c r="G845" s="1854" t="s">
        <v>22</v>
      </c>
      <c r="H845" s="1854" t="s">
        <v>22</v>
      </c>
      <c r="I845" s="1854" t="s">
        <v>1118</v>
      </c>
    </row>
    <row customHeight="1" ht="11.25">
      <c r="A846" s="1854" t="s">
        <v>2542</v>
      </c>
      <c r="B846" s="1854" t="s">
        <v>16</v>
      </c>
      <c r="C846" s="1854" t="s">
        <v>3897</v>
      </c>
      <c r="D846" s="1854" t="s">
        <v>3898</v>
      </c>
      <c r="E846" s="1854" t="s">
        <v>3899</v>
      </c>
      <c r="F846" s="1854" t="s">
        <v>2785</v>
      </c>
      <c r="G846" s="1854" t="s">
        <v>22</v>
      </c>
      <c r="H846" s="1854" t="s">
        <v>22</v>
      </c>
      <c r="I846" s="1854" t="s">
        <v>1118</v>
      </c>
    </row>
    <row customHeight="1" ht="11.25">
      <c r="A847" s="1854" t="s">
        <v>2542</v>
      </c>
      <c r="B847" s="1854" t="s">
        <v>16</v>
      </c>
      <c r="C847" s="1854" t="s">
        <v>4293</v>
      </c>
      <c r="D847" s="1854" t="s">
        <v>4294</v>
      </c>
      <c r="E847" s="1854" t="s">
        <v>4295</v>
      </c>
      <c r="F847" s="1854" t="s">
        <v>3364</v>
      </c>
      <c r="G847" s="1854" t="s">
        <v>22</v>
      </c>
      <c r="H847" s="1854" t="s">
        <v>22</v>
      </c>
      <c r="I847" s="1854" t="s">
        <v>1118</v>
      </c>
    </row>
    <row customHeight="1" ht="11.25">
      <c r="A848" s="1854" t="s">
        <v>2542</v>
      </c>
      <c r="B848" s="1854" t="s">
        <v>16</v>
      </c>
      <c r="C848" s="1854" t="s">
        <v>3909</v>
      </c>
      <c r="D848" s="1854" t="s">
        <v>3910</v>
      </c>
      <c r="E848" s="1854" t="s">
        <v>3911</v>
      </c>
      <c r="F848" s="1854" t="s">
        <v>3843</v>
      </c>
      <c r="G848" s="1854" t="s">
        <v>22</v>
      </c>
      <c r="H848" s="1854" t="s">
        <v>22</v>
      </c>
      <c r="I848" s="1854" t="s">
        <v>1118</v>
      </c>
    </row>
    <row customHeight="1" ht="11.25">
      <c r="A849" s="1854" t="s">
        <v>2542</v>
      </c>
      <c r="B849" s="1854" t="s">
        <v>16</v>
      </c>
      <c r="C849" s="1854" t="s">
        <v>3912</v>
      </c>
      <c r="D849" s="1854" t="s">
        <v>3910</v>
      </c>
      <c r="E849" s="1854" t="s">
        <v>3911</v>
      </c>
      <c r="F849" s="1854" t="s">
        <v>2725</v>
      </c>
      <c r="G849" s="1854" t="s">
        <v>22</v>
      </c>
      <c r="H849" s="1854" t="s">
        <v>22</v>
      </c>
      <c r="I849" s="1854" t="s">
        <v>1118</v>
      </c>
    </row>
    <row customHeight="1" ht="11.25">
      <c r="A850" s="1854" t="s">
        <v>2542</v>
      </c>
      <c r="B850" s="1854" t="s">
        <v>16</v>
      </c>
      <c r="C850" s="1854" t="s">
        <v>4296</v>
      </c>
      <c r="D850" s="1854" t="s">
        <v>4297</v>
      </c>
      <c r="E850" s="1854" t="s">
        <v>4298</v>
      </c>
      <c r="F850" s="1854" t="s">
        <v>2591</v>
      </c>
      <c r="G850" s="1854" t="s">
        <v>22</v>
      </c>
      <c r="H850" s="1854" t="s">
        <v>22</v>
      </c>
      <c r="I850" s="1854" t="s">
        <v>1118</v>
      </c>
    </row>
    <row customHeight="1" ht="11.25">
      <c r="A851" s="1854" t="s">
        <v>2542</v>
      </c>
      <c r="B851" s="1854" t="s">
        <v>16</v>
      </c>
      <c r="C851" s="1854" t="s">
        <v>4299</v>
      </c>
      <c r="D851" s="1854" t="s">
        <v>4300</v>
      </c>
      <c r="E851" s="1854" t="s">
        <v>4301</v>
      </c>
      <c r="F851" s="1854" t="s">
        <v>3256</v>
      </c>
      <c r="G851" s="1854" t="s">
        <v>22</v>
      </c>
      <c r="H851" s="1854" t="s">
        <v>22</v>
      </c>
      <c r="I851" s="1854" t="s">
        <v>1118</v>
      </c>
    </row>
    <row customHeight="1" ht="11.25">
      <c r="A852" s="1854" t="s">
        <v>2542</v>
      </c>
      <c r="B852" s="1854" t="s">
        <v>16</v>
      </c>
      <c r="C852" s="1854" t="s">
        <v>3920</v>
      </c>
      <c r="D852" s="1854" t="s">
        <v>3921</v>
      </c>
      <c r="E852" s="1854" t="s">
        <v>3922</v>
      </c>
      <c r="F852" s="1854" t="s">
        <v>2606</v>
      </c>
      <c r="G852" s="1854" t="s">
        <v>22</v>
      </c>
      <c r="H852" s="1854" t="s">
        <v>22</v>
      </c>
      <c r="I852" s="1854" t="s">
        <v>1118</v>
      </c>
    </row>
    <row customHeight="1" ht="11.25">
      <c r="A853" s="1854" t="s">
        <v>2542</v>
      </c>
      <c r="B853" s="1854" t="s">
        <v>16</v>
      </c>
      <c r="C853" s="1854" t="s">
        <v>3934</v>
      </c>
      <c r="D853" s="1854" t="s">
        <v>3935</v>
      </c>
      <c r="E853" s="1854" t="s">
        <v>3936</v>
      </c>
      <c r="F853" s="1854" t="s">
        <v>2995</v>
      </c>
      <c r="G853" s="1854" t="s">
        <v>22</v>
      </c>
      <c r="H853" s="1854" t="s">
        <v>22</v>
      </c>
      <c r="I853" s="1854" t="s">
        <v>1118</v>
      </c>
    </row>
    <row customHeight="1" ht="11.25">
      <c r="A854" s="1854" t="s">
        <v>2542</v>
      </c>
      <c r="B854" s="1854" t="s">
        <v>16</v>
      </c>
      <c r="C854" s="1854" t="s">
        <v>3940</v>
      </c>
      <c r="D854" s="1854" t="s">
        <v>3941</v>
      </c>
      <c r="E854" s="1854" t="s">
        <v>3942</v>
      </c>
      <c r="F854" s="1854" t="s">
        <v>2813</v>
      </c>
      <c r="G854" s="1854" t="s">
        <v>22</v>
      </c>
      <c r="H854" s="1854" t="s">
        <v>22</v>
      </c>
      <c r="I854" s="1854" t="s">
        <v>1118</v>
      </c>
    </row>
    <row customHeight="1" ht="11.25">
      <c r="A855" s="1854" t="s">
        <v>2542</v>
      </c>
      <c r="B855" s="1854" t="s">
        <v>16</v>
      </c>
      <c r="C855" s="1854" t="s">
        <v>3946</v>
      </c>
      <c r="D855" s="1854" t="s">
        <v>3947</v>
      </c>
      <c r="E855" s="1854" t="s">
        <v>3948</v>
      </c>
      <c r="F855" s="1854" t="s">
        <v>2925</v>
      </c>
      <c r="G855" s="1854" t="s">
        <v>3949</v>
      </c>
      <c r="H855" s="1854" t="s">
        <v>22</v>
      </c>
      <c r="I855" s="1854" t="s">
        <v>1118</v>
      </c>
    </row>
    <row customHeight="1" ht="11.25">
      <c r="A856" s="1854" t="s">
        <v>2542</v>
      </c>
      <c r="B856" s="1854" t="s">
        <v>16</v>
      </c>
      <c r="C856" s="1854" t="s">
        <v>3953</v>
      </c>
      <c r="D856" s="1854" t="s">
        <v>3954</v>
      </c>
      <c r="E856" s="1854" t="s">
        <v>3955</v>
      </c>
      <c r="F856" s="1854" t="s">
        <v>3596</v>
      </c>
      <c r="G856" s="1854" t="s">
        <v>22</v>
      </c>
      <c r="H856" s="1854" t="s">
        <v>22</v>
      </c>
      <c r="I856" s="1854" t="s">
        <v>1118</v>
      </c>
    </row>
    <row customHeight="1" ht="11.25">
      <c r="A857" s="1854" t="s">
        <v>2542</v>
      </c>
      <c r="B857" s="1854" t="s">
        <v>16</v>
      </c>
      <c r="C857" s="1854" t="s">
        <v>3966</v>
      </c>
      <c r="D857" s="1854" t="s">
        <v>3967</v>
      </c>
      <c r="E857" s="1854" t="s">
        <v>3968</v>
      </c>
      <c r="F857" s="1854" t="s">
        <v>3969</v>
      </c>
      <c r="G857" s="1854" t="s">
        <v>22</v>
      </c>
      <c r="H857" s="1854" t="s">
        <v>22</v>
      </c>
      <c r="I857" s="1854" t="s">
        <v>1118</v>
      </c>
    </row>
    <row customHeight="1" ht="11.25">
      <c r="A858" s="1854" t="s">
        <v>2542</v>
      </c>
      <c r="B858" s="1854" t="s">
        <v>16</v>
      </c>
      <c r="C858" s="1854" t="s">
        <v>3976</v>
      </c>
      <c r="D858" s="1854" t="s">
        <v>3977</v>
      </c>
      <c r="E858" s="1854" t="s">
        <v>3978</v>
      </c>
      <c r="F858" s="1854" t="s">
        <v>3979</v>
      </c>
      <c r="G858" s="1854" t="s">
        <v>22</v>
      </c>
      <c r="H858" s="1854" t="s">
        <v>22</v>
      </c>
      <c r="I858" s="1854" t="s">
        <v>1171</v>
      </c>
    </row>
    <row customHeight="1" ht="11.25">
      <c r="A859" s="1854" t="s">
        <v>2542</v>
      </c>
      <c r="B859" s="1854" t="s">
        <v>16</v>
      </c>
      <c r="C859" s="1854" t="s">
        <v>2570</v>
      </c>
      <c r="D859" s="1854" t="s">
        <v>2571</v>
      </c>
      <c r="E859" s="1854" t="s">
        <v>2572</v>
      </c>
      <c r="F859" s="1854" t="s">
        <v>2573</v>
      </c>
      <c r="G859" s="1854" t="s">
        <v>22</v>
      </c>
      <c r="H859" s="1854" t="s">
        <v>22</v>
      </c>
      <c r="I859" s="1854" t="s">
        <v>1171</v>
      </c>
    </row>
    <row customHeight="1" ht="11.25">
      <c r="A860" s="1854" t="s">
        <v>2542</v>
      </c>
      <c r="B860" s="1854" t="s">
        <v>16</v>
      </c>
      <c r="C860" s="1854" t="s">
        <v>3980</v>
      </c>
      <c r="D860" s="1854" t="s">
        <v>3981</v>
      </c>
      <c r="E860" s="1854" t="s">
        <v>3982</v>
      </c>
      <c r="F860" s="1854" t="s">
        <v>2573</v>
      </c>
      <c r="G860" s="1854" t="s">
        <v>22</v>
      </c>
      <c r="H860" s="1854" t="s">
        <v>22</v>
      </c>
      <c r="I860" s="1854" t="s">
        <v>1171</v>
      </c>
    </row>
    <row customHeight="1" ht="11.25">
      <c r="A861" s="1854" t="s">
        <v>2542</v>
      </c>
      <c r="B861" s="1854" t="s">
        <v>16</v>
      </c>
      <c r="C861" s="1854" t="s">
        <v>2574</v>
      </c>
      <c r="D861" s="1854" t="s">
        <v>2575</v>
      </c>
      <c r="E861" s="1854" t="s">
        <v>2576</v>
      </c>
      <c r="F861" s="1854" t="s">
        <v>2577</v>
      </c>
      <c r="G861" s="1854" t="s">
        <v>22</v>
      </c>
      <c r="H861" s="1854" t="s">
        <v>22</v>
      </c>
      <c r="I861" s="1854" t="s">
        <v>1171</v>
      </c>
    </row>
    <row customHeight="1" ht="11.25">
      <c r="A862" s="1854" t="s">
        <v>2542</v>
      </c>
      <c r="B862" s="1854" t="s">
        <v>16</v>
      </c>
      <c r="C862" s="1854" t="s">
        <v>3983</v>
      </c>
      <c r="D862" s="1854" t="s">
        <v>3984</v>
      </c>
      <c r="E862" s="1854" t="s">
        <v>3985</v>
      </c>
      <c r="F862" s="1854" t="s">
        <v>2577</v>
      </c>
      <c r="G862" s="1854" t="s">
        <v>22</v>
      </c>
      <c r="H862" s="1854" t="s">
        <v>22</v>
      </c>
      <c r="I862" s="1854" t="s">
        <v>1171</v>
      </c>
    </row>
    <row customHeight="1" ht="11.25">
      <c r="A863" s="1854" t="s">
        <v>2542</v>
      </c>
      <c r="B863" s="1854" t="s">
        <v>16</v>
      </c>
      <c r="C863" s="1854" t="s">
        <v>2588</v>
      </c>
      <c r="D863" s="1854" t="s">
        <v>2589</v>
      </c>
      <c r="E863" s="1854" t="s">
        <v>2590</v>
      </c>
      <c r="F863" s="1854" t="s">
        <v>2591</v>
      </c>
      <c r="G863" s="1854" t="s">
        <v>22</v>
      </c>
      <c r="H863" s="1854" t="s">
        <v>22</v>
      </c>
      <c r="I863" s="1854" t="s">
        <v>1171</v>
      </c>
    </row>
    <row customHeight="1" ht="11.25">
      <c r="A864" s="1854" t="s">
        <v>2542</v>
      </c>
      <c r="B864" s="1854" t="s">
        <v>16</v>
      </c>
      <c r="C864" s="1854" t="s">
        <v>3986</v>
      </c>
      <c r="D864" s="1854" t="s">
        <v>2593</v>
      </c>
      <c r="E864" s="1854" t="s">
        <v>2594</v>
      </c>
      <c r="F864" s="1854" t="s">
        <v>3987</v>
      </c>
      <c r="G864" s="1854" t="s">
        <v>3988</v>
      </c>
      <c r="H864" s="1854" t="s">
        <v>22</v>
      </c>
      <c r="I864" s="1854" t="s">
        <v>1171</v>
      </c>
    </row>
    <row customHeight="1" ht="11.25">
      <c r="A865" s="1854" t="s">
        <v>2542</v>
      </c>
      <c r="B865" s="1854" t="s">
        <v>16</v>
      </c>
      <c r="C865" s="1854" t="s">
        <v>3989</v>
      </c>
      <c r="D865" s="1854" t="s">
        <v>3990</v>
      </c>
      <c r="E865" s="1854" t="s">
        <v>3991</v>
      </c>
      <c r="F865" s="1854" t="s">
        <v>2606</v>
      </c>
      <c r="G865" s="1854" t="s">
        <v>22</v>
      </c>
      <c r="H865" s="1854" t="s">
        <v>22</v>
      </c>
      <c r="I865" s="1854" t="s">
        <v>1171</v>
      </c>
    </row>
    <row customHeight="1" ht="11.25">
      <c r="A866" s="1854" t="s">
        <v>2542</v>
      </c>
      <c r="B866" s="1854" t="s">
        <v>16</v>
      </c>
      <c r="C866" s="1854" t="s">
        <v>2600</v>
      </c>
      <c r="D866" s="1854" t="s">
        <v>2601</v>
      </c>
      <c r="E866" s="1854" t="s">
        <v>2602</v>
      </c>
      <c r="F866" s="1854" t="s">
        <v>2577</v>
      </c>
      <c r="G866" s="1854" t="s">
        <v>22</v>
      </c>
      <c r="H866" s="1854" t="s">
        <v>22</v>
      </c>
      <c r="I866" s="1854" t="s">
        <v>1171</v>
      </c>
    </row>
    <row customHeight="1" ht="11.25">
      <c r="A867" s="1854" t="s">
        <v>2542</v>
      </c>
      <c r="B867" s="1854" t="s">
        <v>16</v>
      </c>
      <c r="C867" s="1854" t="s">
        <v>2603</v>
      </c>
      <c r="D867" s="1854" t="s">
        <v>2604</v>
      </c>
      <c r="E867" s="1854" t="s">
        <v>2605</v>
      </c>
      <c r="F867" s="1854" t="s">
        <v>2606</v>
      </c>
      <c r="G867" s="1854" t="s">
        <v>22</v>
      </c>
      <c r="H867" s="1854" t="s">
        <v>22</v>
      </c>
      <c r="I867" s="1854" t="s">
        <v>1171</v>
      </c>
    </row>
    <row customHeight="1" ht="11.25">
      <c r="A868" s="1854" t="s">
        <v>2542</v>
      </c>
      <c r="B868" s="1854" t="s">
        <v>16</v>
      </c>
      <c r="C868" s="1854" t="s">
        <v>2611</v>
      </c>
      <c r="D868" s="1854" t="s">
        <v>2612</v>
      </c>
      <c r="E868" s="1854" t="s">
        <v>2613</v>
      </c>
      <c r="F868" s="1854" t="s">
        <v>2606</v>
      </c>
      <c r="G868" s="1854" t="s">
        <v>22</v>
      </c>
      <c r="H868" s="1854" t="s">
        <v>22</v>
      </c>
      <c r="I868" s="1854" t="s">
        <v>1171</v>
      </c>
    </row>
    <row customHeight="1" ht="11.25">
      <c r="A869" s="1854" t="s">
        <v>2542</v>
      </c>
      <c r="B869" s="1854" t="s">
        <v>16</v>
      </c>
      <c r="C869" s="1854" t="s">
        <v>2614</v>
      </c>
      <c r="D869" s="1854" t="s">
        <v>2615</v>
      </c>
      <c r="E869" s="1854" t="s">
        <v>2616</v>
      </c>
      <c r="F869" s="1854" t="s">
        <v>2573</v>
      </c>
      <c r="G869" s="1854" t="s">
        <v>22</v>
      </c>
      <c r="H869" s="1854" t="s">
        <v>22</v>
      </c>
      <c r="I869" s="1854" t="s">
        <v>1171</v>
      </c>
    </row>
    <row customHeight="1" ht="11.25">
      <c r="A870" s="1854" t="s">
        <v>2542</v>
      </c>
      <c r="B870" s="1854" t="s">
        <v>16</v>
      </c>
      <c r="C870" s="1854" t="s">
        <v>2617</v>
      </c>
      <c r="D870" s="1854" t="s">
        <v>2618</v>
      </c>
      <c r="E870" s="1854" t="s">
        <v>2619</v>
      </c>
      <c r="F870" s="1854" t="s">
        <v>2620</v>
      </c>
      <c r="G870" s="1854" t="s">
        <v>22</v>
      </c>
      <c r="H870" s="1854" t="s">
        <v>22</v>
      </c>
      <c r="I870" s="1854" t="s">
        <v>1171</v>
      </c>
    </row>
    <row customHeight="1" ht="11.25">
      <c r="A871" s="1854" t="s">
        <v>2542</v>
      </c>
      <c r="B871" s="1854" t="s">
        <v>16</v>
      </c>
      <c r="C871" s="1854" t="s">
        <v>3992</v>
      </c>
      <c r="D871" s="1854" t="s">
        <v>3993</v>
      </c>
      <c r="E871" s="1854" t="s">
        <v>3994</v>
      </c>
      <c r="F871" s="1854" t="s">
        <v>2767</v>
      </c>
      <c r="G871" s="1854" t="s">
        <v>22</v>
      </c>
      <c r="H871" s="1854" t="s">
        <v>22</v>
      </c>
      <c r="I871" s="1854" t="s">
        <v>1171</v>
      </c>
    </row>
    <row customHeight="1" ht="11.25">
      <c r="A872" s="1854" t="s">
        <v>2542</v>
      </c>
      <c r="B872" s="1854" t="s">
        <v>16</v>
      </c>
      <c r="C872" s="1854" t="s">
        <v>3995</v>
      </c>
      <c r="D872" s="1854" t="s">
        <v>3996</v>
      </c>
      <c r="E872" s="1854" t="s">
        <v>3997</v>
      </c>
      <c r="F872" s="1854" t="s">
        <v>2665</v>
      </c>
      <c r="G872" s="1854" t="s">
        <v>22</v>
      </c>
      <c r="H872" s="1854" t="s">
        <v>22</v>
      </c>
      <c r="I872" s="1854" t="s">
        <v>1171</v>
      </c>
    </row>
    <row customHeight="1" ht="11.25">
      <c r="A873" s="1854" t="s">
        <v>2542</v>
      </c>
      <c r="B873" s="1854" t="s">
        <v>16</v>
      </c>
      <c r="C873" s="1854" t="s">
        <v>2625</v>
      </c>
      <c r="D873" s="1854" t="s">
        <v>2626</v>
      </c>
      <c r="E873" s="1854" t="s">
        <v>2627</v>
      </c>
      <c r="F873" s="1854" t="s">
        <v>2606</v>
      </c>
      <c r="G873" s="1854" t="s">
        <v>22</v>
      </c>
      <c r="H873" s="1854" t="s">
        <v>22</v>
      </c>
      <c r="I873" s="1854" t="s">
        <v>1171</v>
      </c>
    </row>
    <row customHeight="1" ht="11.25">
      <c r="A874" s="1854" t="s">
        <v>2542</v>
      </c>
      <c r="B874" s="1854" t="s">
        <v>16</v>
      </c>
      <c r="C874" s="1854" t="s">
        <v>2635</v>
      </c>
      <c r="D874" s="1854" t="s">
        <v>2636</v>
      </c>
      <c r="E874" s="1854" t="s">
        <v>2637</v>
      </c>
      <c r="F874" s="1854" t="s">
        <v>2573</v>
      </c>
      <c r="G874" s="1854" t="s">
        <v>22</v>
      </c>
      <c r="H874" s="1854" t="s">
        <v>22</v>
      </c>
      <c r="I874" s="1854" t="s">
        <v>1171</v>
      </c>
    </row>
    <row customHeight="1" ht="11.25">
      <c r="A875" s="1854" t="s">
        <v>2542</v>
      </c>
      <c r="B875" s="1854" t="s">
        <v>16</v>
      </c>
      <c r="C875" s="1854" t="s">
        <v>2638</v>
      </c>
      <c r="D875" s="1854" t="s">
        <v>2639</v>
      </c>
      <c r="E875" s="1854" t="s">
        <v>2640</v>
      </c>
      <c r="F875" s="1854" t="s">
        <v>2641</v>
      </c>
      <c r="G875" s="1854" t="s">
        <v>2642</v>
      </c>
      <c r="H875" s="1854" t="s">
        <v>22</v>
      </c>
      <c r="I875" s="1854" t="s">
        <v>1171</v>
      </c>
    </row>
    <row customHeight="1" ht="11.25">
      <c r="A876" s="1854" t="s">
        <v>2542</v>
      </c>
      <c r="B876" s="1854" t="s">
        <v>16</v>
      </c>
      <c r="C876" s="1854" t="s">
        <v>2653</v>
      </c>
      <c r="D876" s="1854" t="s">
        <v>2654</v>
      </c>
      <c r="E876" s="1854" t="s">
        <v>2655</v>
      </c>
      <c r="F876" s="1854" t="s">
        <v>2584</v>
      </c>
      <c r="G876" s="1854" t="s">
        <v>22</v>
      </c>
      <c r="H876" s="1854" t="s">
        <v>22</v>
      </c>
      <c r="I876" s="1854" t="s">
        <v>1171</v>
      </c>
    </row>
    <row customHeight="1" ht="11.25">
      <c r="A877" s="1854" t="s">
        <v>2542</v>
      </c>
      <c r="B877" s="1854" t="s">
        <v>16</v>
      </c>
      <c r="C877" s="1854" t="s">
        <v>2656</v>
      </c>
      <c r="D877" s="1854" t="s">
        <v>2657</v>
      </c>
      <c r="E877" s="1854" t="s">
        <v>2658</v>
      </c>
      <c r="F877" s="1854" t="s">
        <v>2610</v>
      </c>
      <c r="G877" s="1854" t="s">
        <v>22</v>
      </c>
      <c r="H877" s="1854" t="s">
        <v>22</v>
      </c>
      <c r="I877" s="1854" t="s">
        <v>1171</v>
      </c>
    </row>
    <row customHeight="1" ht="11.25">
      <c r="A878" s="1854" t="s">
        <v>2542</v>
      </c>
      <c r="B878" s="1854" t="s">
        <v>16</v>
      </c>
      <c r="C878" s="1854" t="s">
        <v>2662</v>
      </c>
      <c r="D878" s="1854" t="s">
        <v>2663</v>
      </c>
      <c r="E878" s="1854" t="s">
        <v>2664</v>
      </c>
      <c r="F878" s="1854" t="s">
        <v>2665</v>
      </c>
      <c r="G878" s="1854" t="s">
        <v>22</v>
      </c>
      <c r="H878" s="1854" t="s">
        <v>22</v>
      </c>
      <c r="I878" s="1854" t="s">
        <v>1171</v>
      </c>
    </row>
    <row customHeight="1" ht="11.25">
      <c r="A879" s="1854" t="s">
        <v>2542</v>
      </c>
      <c r="B879" s="1854" t="s">
        <v>16</v>
      </c>
      <c r="C879" s="1854" t="s">
        <v>2666</v>
      </c>
      <c r="D879" s="1854" t="s">
        <v>2667</v>
      </c>
      <c r="E879" s="1854" t="s">
        <v>2668</v>
      </c>
      <c r="F879" s="1854" t="s">
        <v>2669</v>
      </c>
      <c r="G879" s="1854" t="s">
        <v>22</v>
      </c>
      <c r="H879" s="1854" t="s">
        <v>22</v>
      </c>
      <c r="I879" s="1854" t="s">
        <v>1171</v>
      </c>
    </row>
    <row customHeight="1" ht="11.25">
      <c r="A880" s="1854" t="s">
        <v>2542</v>
      </c>
      <c r="B880" s="1854" t="s">
        <v>16</v>
      </c>
      <c r="C880" s="1854" t="s">
        <v>3998</v>
      </c>
      <c r="D880" s="1854" t="s">
        <v>3999</v>
      </c>
      <c r="E880" s="1854" t="s">
        <v>4000</v>
      </c>
      <c r="F880" s="1854" t="s">
        <v>50</v>
      </c>
      <c r="G880" s="1854" t="s">
        <v>22</v>
      </c>
      <c r="H880" s="1854" t="s">
        <v>22</v>
      </c>
      <c r="I880" s="1854" t="s">
        <v>1171</v>
      </c>
    </row>
    <row customHeight="1" ht="11.25">
      <c r="A881" s="1854" t="s">
        <v>2542</v>
      </c>
      <c r="B881" s="1854" t="s">
        <v>16</v>
      </c>
      <c r="C881" s="1854" t="s">
        <v>2684</v>
      </c>
      <c r="D881" s="1854" t="s">
        <v>2685</v>
      </c>
      <c r="E881" s="1854" t="s">
        <v>2683</v>
      </c>
      <c r="F881" s="1854" t="s">
        <v>2686</v>
      </c>
      <c r="G881" s="1854" t="s">
        <v>22</v>
      </c>
      <c r="H881" s="1854" t="s">
        <v>22</v>
      </c>
      <c r="I881" s="1854" t="s">
        <v>1171</v>
      </c>
    </row>
    <row customHeight="1" ht="11.25">
      <c r="A882" s="1854" t="s">
        <v>2542</v>
      </c>
      <c r="B882" s="1854" t="s">
        <v>16</v>
      </c>
      <c r="C882" s="1854" t="s">
        <v>2693</v>
      </c>
      <c r="D882" s="1854" t="s">
        <v>2694</v>
      </c>
      <c r="E882" s="1854" t="s">
        <v>2683</v>
      </c>
      <c r="F882" s="1854" t="s">
        <v>2695</v>
      </c>
      <c r="G882" s="1854" t="s">
        <v>22</v>
      </c>
      <c r="H882" s="1854" t="s">
        <v>22</v>
      </c>
      <c r="I882" s="1854" t="s">
        <v>1171</v>
      </c>
    </row>
    <row customHeight="1" ht="11.25">
      <c r="A883" s="1854" t="s">
        <v>2542</v>
      </c>
      <c r="B883" s="1854" t="s">
        <v>16</v>
      </c>
      <c r="C883" s="1854" t="s">
        <v>2699</v>
      </c>
      <c r="D883" s="1854" t="s">
        <v>2700</v>
      </c>
      <c r="E883" s="1854" t="s">
        <v>2683</v>
      </c>
      <c r="F883" s="1854" t="s">
        <v>2701</v>
      </c>
      <c r="G883" s="1854" t="s">
        <v>22</v>
      </c>
      <c r="H883" s="1854" t="s">
        <v>22</v>
      </c>
      <c r="I883" s="1854" t="s">
        <v>1171</v>
      </c>
    </row>
    <row customHeight="1" ht="11.25">
      <c r="A884" s="1854" t="s">
        <v>2542</v>
      </c>
      <c r="B884" s="1854" t="s">
        <v>16</v>
      </c>
      <c r="C884" s="1854" t="s">
        <v>4001</v>
      </c>
      <c r="D884" s="1854" t="s">
        <v>4002</v>
      </c>
      <c r="E884" s="1854" t="s">
        <v>4003</v>
      </c>
      <c r="F884" s="1854" t="s">
        <v>2591</v>
      </c>
      <c r="G884" s="1854" t="s">
        <v>22</v>
      </c>
      <c r="H884" s="1854" t="s">
        <v>22</v>
      </c>
      <c r="I884" s="1854" t="s">
        <v>1171</v>
      </c>
    </row>
    <row customHeight="1" ht="11.25">
      <c r="A885" s="1854" t="s">
        <v>2542</v>
      </c>
      <c r="B885" s="1854" t="s">
        <v>16</v>
      </c>
      <c r="C885" s="1854" t="s">
        <v>4302</v>
      </c>
      <c r="D885" s="1854" t="s">
        <v>4303</v>
      </c>
      <c r="E885" s="1854" t="s">
        <v>4304</v>
      </c>
      <c r="F885" s="1854" t="s">
        <v>2599</v>
      </c>
      <c r="G885" s="1854" t="s">
        <v>4305</v>
      </c>
      <c r="H885" s="1854" t="s">
        <v>22</v>
      </c>
      <c r="I885" s="1854" t="s">
        <v>1171</v>
      </c>
    </row>
    <row customHeight="1" ht="11.25">
      <c r="A886" s="1854" t="s">
        <v>2542</v>
      </c>
      <c r="B886" s="1854" t="s">
        <v>16</v>
      </c>
      <c r="C886" s="1854" t="s">
        <v>4306</v>
      </c>
      <c r="D886" s="1854" t="s">
        <v>4307</v>
      </c>
      <c r="E886" s="1854" t="s">
        <v>4308</v>
      </c>
      <c r="F886" s="1854" t="s">
        <v>2991</v>
      </c>
      <c r="G886" s="1854" t="s">
        <v>22</v>
      </c>
      <c r="H886" s="1854" t="s">
        <v>22</v>
      </c>
      <c r="I886" s="1854" t="s">
        <v>1171</v>
      </c>
    </row>
    <row customHeight="1" ht="11.25">
      <c r="A887" s="1854" t="s">
        <v>2542</v>
      </c>
      <c r="B887" s="1854" t="s">
        <v>16</v>
      </c>
      <c r="C887" s="1854" t="s">
        <v>2734</v>
      </c>
      <c r="D887" s="1854" t="s">
        <v>2735</v>
      </c>
      <c r="E887" s="1854" t="s">
        <v>2736</v>
      </c>
      <c r="F887" s="1854" t="s">
        <v>2558</v>
      </c>
      <c r="G887" s="1854" t="s">
        <v>22</v>
      </c>
      <c r="H887" s="1854" t="s">
        <v>22</v>
      </c>
      <c r="I887" s="1854" t="s">
        <v>1171</v>
      </c>
    </row>
    <row customHeight="1" ht="11.25">
      <c r="A888" s="1854" t="s">
        <v>2542</v>
      </c>
      <c r="B888" s="1854" t="s">
        <v>16</v>
      </c>
      <c r="C888" s="1854" t="s">
        <v>2744</v>
      </c>
      <c r="D888" s="1854" t="s">
        <v>2745</v>
      </c>
      <c r="E888" s="1854" t="s">
        <v>2746</v>
      </c>
      <c r="F888" s="1854" t="s">
        <v>2620</v>
      </c>
      <c r="G888" s="1854" t="s">
        <v>2747</v>
      </c>
      <c r="H888" s="1854" t="s">
        <v>22</v>
      </c>
      <c r="I888" s="1854" t="s">
        <v>1171</v>
      </c>
    </row>
    <row customHeight="1" ht="11.25">
      <c r="A889" s="1854" t="s">
        <v>2542</v>
      </c>
      <c r="B889" s="1854" t="s">
        <v>16</v>
      </c>
      <c r="C889" s="1854" t="s">
        <v>4021</v>
      </c>
      <c r="D889" s="1854" t="s">
        <v>4022</v>
      </c>
      <c r="E889" s="1854" t="s">
        <v>4023</v>
      </c>
      <c r="F889" s="1854" t="s">
        <v>2801</v>
      </c>
      <c r="G889" s="1854" t="s">
        <v>22</v>
      </c>
      <c r="H889" s="1854" t="s">
        <v>22</v>
      </c>
      <c r="I889" s="1854" t="s">
        <v>1171</v>
      </c>
    </row>
    <row customHeight="1" ht="11.25">
      <c r="A890" s="1854" t="s">
        <v>2542</v>
      </c>
      <c r="B890" s="1854" t="s">
        <v>16</v>
      </c>
      <c r="C890" s="1854" t="s">
        <v>4024</v>
      </c>
      <c r="D890" s="1854" t="s">
        <v>4025</v>
      </c>
      <c r="E890" s="1854" t="s">
        <v>4026</v>
      </c>
      <c r="F890" s="1854" t="s">
        <v>2984</v>
      </c>
      <c r="G890" s="1854" t="s">
        <v>22</v>
      </c>
      <c r="H890" s="1854" t="s">
        <v>22</v>
      </c>
      <c r="I890" s="1854" t="s">
        <v>1171</v>
      </c>
    </row>
    <row customHeight="1" ht="11.25">
      <c r="A891" s="1854" t="s">
        <v>2542</v>
      </c>
      <c r="B891" s="1854" t="s">
        <v>16</v>
      </c>
      <c r="C891" s="1854" t="s">
        <v>2782</v>
      </c>
      <c r="D891" s="1854" t="s">
        <v>2783</v>
      </c>
      <c r="E891" s="1854" t="s">
        <v>2784</v>
      </c>
      <c r="F891" s="1854" t="s">
        <v>2785</v>
      </c>
      <c r="G891" s="1854" t="s">
        <v>2786</v>
      </c>
      <c r="H891" s="1854" t="s">
        <v>22</v>
      </c>
      <c r="I891" s="1854" t="s">
        <v>1171</v>
      </c>
    </row>
    <row customHeight="1" ht="11.25">
      <c r="A892" s="1854" t="s">
        <v>2542</v>
      </c>
      <c r="B892" s="1854" t="s">
        <v>16</v>
      </c>
      <c r="C892" s="1854" t="s">
        <v>2810</v>
      </c>
      <c r="D892" s="1854" t="s">
        <v>2811</v>
      </c>
      <c r="E892" s="1854" t="s">
        <v>2812</v>
      </c>
      <c r="F892" s="1854" t="s">
        <v>2813</v>
      </c>
      <c r="G892" s="1854" t="s">
        <v>22</v>
      </c>
      <c r="H892" s="1854" t="s">
        <v>22</v>
      </c>
      <c r="I892" s="1854" t="s">
        <v>1171</v>
      </c>
    </row>
    <row customHeight="1" ht="11.25">
      <c r="A893" s="1854" t="s">
        <v>2542</v>
      </c>
      <c r="B893" s="1854" t="s">
        <v>16</v>
      </c>
      <c r="C893" s="1854" t="s">
        <v>2814</v>
      </c>
      <c r="D893" s="1854" t="s">
        <v>2815</v>
      </c>
      <c r="E893" s="1854" t="s">
        <v>2816</v>
      </c>
      <c r="F893" s="1854" t="s">
        <v>2817</v>
      </c>
      <c r="G893" s="1854" t="s">
        <v>22</v>
      </c>
      <c r="H893" s="1854" t="s">
        <v>22</v>
      </c>
      <c r="I893" s="1854" t="s">
        <v>1171</v>
      </c>
    </row>
    <row customHeight="1" ht="11.25">
      <c r="A894" s="1854" t="s">
        <v>2542</v>
      </c>
      <c r="B894" s="1854" t="s">
        <v>16</v>
      </c>
      <c r="C894" s="1854" t="s">
        <v>2825</v>
      </c>
      <c r="D894" s="1854" t="s">
        <v>2826</v>
      </c>
      <c r="E894" s="1854" t="s">
        <v>2827</v>
      </c>
      <c r="F894" s="1854" t="s">
        <v>2828</v>
      </c>
      <c r="G894" s="1854" t="s">
        <v>22</v>
      </c>
      <c r="H894" s="1854" t="s">
        <v>22</v>
      </c>
      <c r="I894" s="1854" t="s">
        <v>1171</v>
      </c>
    </row>
    <row customHeight="1" ht="11.25">
      <c r="A895" s="1854" t="s">
        <v>2542</v>
      </c>
      <c r="B895" s="1854" t="s">
        <v>16</v>
      </c>
      <c r="C895" s="1854" t="s">
        <v>2829</v>
      </c>
      <c r="D895" s="1854" t="s">
        <v>2830</v>
      </c>
      <c r="E895" s="1854" t="s">
        <v>2831</v>
      </c>
      <c r="F895" s="1854" t="s">
        <v>2584</v>
      </c>
      <c r="G895" s="1854" t="s">
        <v>22</v>
      </c>
      <c r="H895" s="1854" t="s">
        <v>22</v>
      </c>
      <c r="I895" s="1854" t="s">
        <v>1171</v>
      </c>
    </row>
    <row customHeight="1" ht="11.25">
      <c r="A896" s="1854" t="s">
        <v>2542</v>
      </c>
      <c r="B896" s="1854" t="s">
        <v>16</v>
      </c>
      <c r="C896" s="1854" t="s">
        <v>2832</v>
      </c>
      <c r="D896" s="1854" t="s">
        <v>2833</v>
      </c>
      <c r="E896" s="1854" t="s">
        <v>2834</v>
      </c>
      <c r="F896" s="1854" t="s">
        <v>2573</v>
      </c>
      <c r="G896" s="1854" t="s">
        <v>22</v>
      </c>
      <c r="H896" s="1854" t="s">
        <v>22</v>
      </c>
      <c r="I896" s="1854" t="s">
        <v>1171</v>
      </c>
    </row>
    <row customHeight="1" ht="11.25">
      <c r="A897" s="1854" t="s">
        <v>2542</v>
      </c>
      <c r="B897" s="1854" t="s">
        <v>16</v>
      </c>
      <c r="C897" s="1854" t="s">
        <v>2845</v>
      </c>
      <c r="D897" s="1854" t="s">
        <v>2846</v>
      </c>
      <c r="E897" s="1854" t="s">
        <v>2847</v>
      </c>
      <c r="F897" s="1854" t="s">
        <v>2679</v>
      </c>
      <c r="G897" s="1854" t="s">
        <v>22</v>
      </c>
      <c r="H897" s="1854" t="s">
        <v>22</v>
      </c>
      <c r="I897" s="1854" t="s">
        <v>1171</v>
      </c>
    </row>
    <row customHeight="1" ht="11.25">
      <c r="A898" s="1854" t="s">
        <v>2542</v>
      </c>
      <c r="B898" s="1854" t="s">
        <v>16</v>
      </c>
      <c r="C898" s="1854" t="s">
        <v>2851</v>
      </c>
      <c r="D898" s="1854" t="s">
        <v>2852</v>
      </c>
      <c r="E898" s="1854" t="s">
        <v>2853</v>
      </c>
      <c r="F898" s="1854" t="s">
        <v>2854</v>
      </c>
      <c r="G898" s="1854" t="s">
        <v>22</v>
      </c>
      <c r="H898" s="1854" t="s">
        <v>22</v>
      </c>
      <c r="I898" s="1854" t="s">
        <v>1171</v>
      </c>
    </row>
    <row customHeight="1" ht="11.25">
      <c r="A899" s="1854" t="s">
        <v>2542</v>
      </c>
      <c r="B899" s="1854" t="s">
        <v>16</v>
      </c>
      <c r="C899" s="1854" t="s">
        <v>2862</v>
      </c>
      <c r="D899" s="1854" t="s">
        <v>2863</v>
      </c>
      <c r="E899" s="1854" t="s">
        <v>2864</v>
      </c>
      <c r="F899" s="1854" t="s">
        <v>2785</v>
      </c>
      <c r="G899" s="1854" t="s">
        <v>22</v>
      </c>
      <c r="H899" s="1854" t="s">
        <v>22</v>
      </c>
      <c r="I899" s="1854" t="s">
        <v>1171</v>
      </c>
    </row>
    <row customHeight="1" ht="11.25">
      <c r="A900" s="1854" t="s">
        <v>2542</v>
      </c>
      <c r="B900" s="1854" t="s">
        <v>16</v>
      </c>
      <c r="C900" s="1854" t="s">
        <v>2874</v>
      </c>
      <c r="D900" s="1854" t="s">
        <v>2875</v>
      </c>
      <c r="E900" s="1854" t="s">
        <v>2876</v>
      </c>
      <c r="F900" s="1854" t="s">
        <v>2679</v>
      </c>
      <c r="G900" s="1854" t="s">
        <v>22</v>
      </c>
      <c r="H900" s="1854" t="s">
        <v>22</v>
      </c>
      <c r="I900" s="1854" t="s">
        <v>1171</v>
      </c>
    </row>
    <row customHeight="1" ht="11.25">
      <c r="A901" s="1854" t="s">
        <v>2542</v>
      </c>
      <c r="B901" s="1854" t="s">
        <v>16</v>
      </c>
      <c r="C901" s="1854" t="s">
        <v>4309</v>
      </c>
      <c r="D901" s="1854" t="s">
        <v>4310</v>
      </c>
      <c r="E901" s="1854" t="s">
        <v>4311</v>
      </c>
      <c r="F901" s="1854" t="s">
        <v>2606</v>
      </c>
      <c r="G901" s="1854" t="s">
        <v>22</v>
      </c>
      <c r="H901" s="1854" t="s">
        <v>22</v>
      </c>
      <c r="I901" s="1854" t="s">
        <v>1171</v>
      </c>
    </row>
    <row customHeight="1" ht="11.25">
      <c r="A902" s="1854" t="s">
        <v>2542</v>
      </c>
      <c r="B902" s="1854" t="s">
        <v>16</v>
      </c>
      <c r="C902" s="1854" t="s">
        <v>2898</v>
      </c>
      <c r="D902" s="1854" t="s">
        <v>2899</v>
      </c>
      <c r="E902" s="1854" t="s">
        <v>2900</v>
      </c>
      <c r="F902" s="1854" t="s">
        <v>595</v>
      </c>
      <c r="G902" s="1854" t="s">
        <v>22</v>
      </c>
      <c r="H902" s="1854" t="s">
        <v>22</v>
      </c>
      <c r="I902" s="1854" t="s">
        <v>1171</v>
      </c>
    </row>
    <row customHeight="1" ht="11.25">
      <c r="A903" s="1854" t="s">
        <v>2542</v>
      </c>
      <c r="B903" s="1854" t="s">
        <v>16</v>
      </c>
      <c r="C903" s="1854" t="s">
        <v>4312</v>
      </c>
      <c r="D903" s="1854" t="s">
        <v>4313</v>
      </c>
      <c r="E903" s="1854" t="s">
        <v>4314</v>
      </c>
      <c r="F903" s="1854" t="s">
        <v>595</v>
      </c>
      <c r="G903" s="1854" t="s">
        <v>22</v>
      </c>
      <c r="H903" s="1854" t="s">
        <v>22</v>
      </c>
      <c r="I903" s="1854" t="s">
        <v>1171</v>
      </c>
    </row>
    <row customHeight="1" ht="11.25">
      <c r="A904" s="1854" t="s">
        <v>2542</v>
      </c>
      <c r="B904" s="1854" t="s">
        <v>16</v>
      </c>
      <c r="C904" s="1854" t="s">
        <v>2904</v>
      </c>
      <c r="D904" s="1854" t="s">
        <v>2905</v>
      </c>
      <c r="E904" s="1854" t="s">
        <v>2906</v>
      </c>
      <c r="F904" s="1854" t="s">
        <v>2907</v>
      </c>
      <c r="G904" s="1854" t="s">
        <v>22</v>
      </c>
      <c r="H904" s="1854" t="s">
        <v>22</v>
      </c>
      <c r="I904" s="1854" t="s">
        <v>1171</v>
      </c>
    </row>
    <row customHeight="1" ht="11.25">
      <c r="A905" s="1854" t="s">
        <v>2542</v>
      </c>
      <c r="B905" s="1854" t="s">
        <v>16</v>
      </c>
      <c r="C905" s="1854" t="s">
        <v>4030</v>
      </c>
      <c r="D905" s="1854" t="s">
        <v>4031</v>
      </c>
      <c r="E905" s="1854" t="s">
        <v>4032</v>
      </c>
      <c r="F905" s="1854" t="s">
        <v>2984</v>
      </c>
      <c r="G905" s="1854" t="s">
        <v>22</v>
      </c>
      <c r="H905" s="1854" t="s">
        <v>22</v>
      </c>
      <c r="I905" s="1854" t="s">
        <v>1171</v>
      </c>
    </row>
    <row customHeight="1" ht="11.25">
      <c r="A906" s="1854" t="s">
        <v>2542</v>
      </c>
      <c r="B906" s="1854" t="s">
        <v>16</v>
      </c>
      <c r="C906" s="1854" t="s">
        <v>2937</v>
      </c>
      <c r="D906" s="1854" t="s">
        <v>2938</v>
      </c>
      <c r="E906" s="1854" t="s">
        <v>2939</v>
      </c>
      <c r="F906" s="1854" t="s">
        <v>2940</v>
      </c>
      <c r="G906" s="1854" t="s">
        <v>22</v>
      </c>
      <c r="H906" s="1854" t="s">
        <v>22</v>
      </c>
      <c r="I906" s="1854" t="s">
        <v>1171</v>
      </c>
    </row>
    <row customHeight="1" ht="11.25">
      <c r="A907" s="1854" t="s">
        <v>2542</v>
      </c>
      <c r="B907" s="1854" t="s">
        <v>16</v>
      </c>
      <c r="C907" s="1854" t="s">
        <v>4052</v>
      </c>
      <c r="D907" s="1854" t="s">
        <v>4049</v>
      </c>
      <c r="E907" s="1854" t="s">
        <v>4053</v>
      </c>
      <c r="F907" s="1854" t="s">
        <v>2966</v>
      </c>
      <c r="G907" s="1854" t="s">
        <v>22</v>
      </c>
      <c r="H907" s="1854" t="s">
        <v>22</v>
      </c>
      <c r="I907" s="1854" t="s">
        <v>1171</v>
      </c>
    </row>
    <row customHeight="1" ht="11.25">
      <c r="A908" s="1854" t="s">
        <v>2542</v>
      </c>
      <c r="B908" s="1854" t="s">
        <v>16</v>
      </c>
      <c r="C908" s="1854" t="s">
        <v>4315</v>
      </c>
      <c r="D908" s="1854" t="s">
        <v>4316</v>
      </c>
      <c r="E908" s="1854" t="s">
        <v>4317</v>
      </c>
      <c r="F908" s="1854" t="s">
        <v>2743</v>
      </c>
      <c r="G908" s="1854" t="s">
        <v>22</v>
      </c>
      <c r="H908" s="1854" t="s">
        <v>22</v>
      </c>
      <c r="I908" s="1854" t="s">
        <v>1171</v>
      </c>
    </row>
    <row customHeight="1" ht="11.25">
      <c r="A909" s="1854" t="s">
        <v>2542</v>
      </c>
      <c r="B909" s="1854" t="s">
        <v>16</v>
      </c>
      <c r="C909" s="1854" t="s">
        <v>2941</v>
      </c>
      <c r="D909" s="1854" t="s">
        <v>2942</v>
      </c>
      <c r="E909" s="1854" t="s">
        <v>2943</v>
      </c>
      <c r="F909" s="1854" t="s">
        <v>2743</v>
      </c>
      <c r="G909" s="1854" t="s">
        <v>22</v>
      </c>
      <c r="H909" s="1854" t="s">
        <v>22</v>
      </c>
      <c r="I909" s="1854" t="s">
        <v>1171</v>
      </c>
    </row>
    <row customHeight="1" ht="11.25">
      <c r="A910" s="1854" t="s">
        <v>2542</v>
      </c>
      <c r="B910" s="1854" t="s">
        <v>16</v>
      </c>
      <c r="C910" s="1854" t="s">
        <v>4054</v>
      </c>
      <c r="D910" s="1854" t="s">
        <v>4055</v>
      </c>
      <c r="E910" s="1854" t="s">
        <v>4056</v>
      </c>
      <c r="F910" s="1854" t="s">
        <v>2953</v>
      </c>
      <c r="G910" s="1854" t="s">
        <v>22</v>
      </c>
      <c r="H910" s="1854" t="s">
        <v>22</v>
      </c>
      <c r="I910" s="1854" t="s">
        <v>1171</v>
      </c>
    </row>
    <row customHeight="1" ht="11.25">
      <c r="A911" s="1854" t="s">
        <v>2542</v>
      </c>
      <c r="B911" s="1854" t="s">
        <v>16</v>
      </c>
      <c r="C911" s="1854" t="s">
        <v>2944</v>
      </c>
      <c r="D911" s="1854" t="s">
        <v>2945</v>
      </c>
      <c r="E911" s="1854" t="s">
        <v>2946</v>
      </c>
      <c r="F911" s="1854" t="s">
        <v>2669</v>
      </c>
      <c r="G911" s="1854" t="s">
        <v>22</v>
      </c>
      <c r="H911" s="1854" t="s">
        <v>22</v>
      </c>
      <c r="I911" s="1854" t="s">
        <v>1171</v>
      </c>
    </row>
    <row customHeight="1" ht="11.25">
      <c r="A912" s="1854" t="s">
        <v>2542</v>
      </c>
      <c r="B912" s="1854" t="s">
        <v>16</v>
      </c>
      <c r="C912" s="1854" t="s">
        <v>2947</v>
      </c>
      <c r="D912" s="1854" t="s">
        <v>2948</v>
      </c>
      <c r="E912" s="1854" t="s">
        <v>2949</v>
      </c>
      <c r="F912" s="1854" t="s">
        <v>2743</v>
      </c>
      <c r="G912" s="1854" t="s">
        <v>22</v>
      </c>
      <c r="H912" s="1854" t="s">
        <v>22</v>
      </c>
      <c r="I912" s="1854" t="s">
        <v>1171</v>
      </c>
    </row>
    <row customHeight="1" ht="11.25">
      <c r="A913" s="1854" t="s">
        <v>2542</v>
      </c>
      <c r="B913" s="1854" t="s">
        <v>16</v>
      </c>
      <c r="C913" s="1854" t="s">
        <v>4318</v>
      </c>
      <c r="D913" s="1854" t="s">
        <v>4319</v>
      </c>
      <c r="E913" s="1854" t="s">
        <v>4320</v>
      </c>
      <c r="F913" s="1854" t="s">
        <v>2917</v>
      </c>
      <c r="G913" s="1854" t="s">
        <v>22</v>
      </c>
      <c r="H913" s="1854" t="s">
        <v>22</v>
      </c>
      <c r="I913" s="1854" t="s">
        <v>1171</v>
      </c>
    </row>
    <row customHeight="1" ht="11.25">
      <c r="A914" s="1854" t="s">
        <v>2542</v>
      </c>
      <c r="B914" s="1854" t="s">
        <v>16</v>
      </c>
      <c r="C914" s="1854" t="s">
        <v>2950</v>
      </c>
      <c r="D914" s="1854" t="s">
        <v>2951</v>
      </c>
      <c r="E914" s="1854" t="s">
        <v>2952</v>
      </c>
      <c r="F914" s="1854" t="s">
        <v>2953</v>
      </c>
      <c r="G914" s="1854" t="s">
        <v>22</v>
      </c>
      <c r="H914" s="1854" t="s">
        <v>22</v>
      </c>
      <c r="I914" s="1854" t="s">
        <v>1171</v>
      </c>
    </row>
    <row customHeight="1" ht="11.25">
      <c r="A915" s="1854" t="s">
        <v>2542</v>
      </c>
      <c r="B915" s="1854" t="s">
        <v>16</v>
      </c>
      <c r="C915" s="1854" t="s">
        <v>2954</v>
      </c>
      <c r="D915" s="1854" t="s">
        <v>2955</v>
      </c>
      <c r="E915" s="1854" t="s">
        <v>2956</v>
      </c>
      <c r="F915" s="1854" t="s">
        <v>2573</v>
      </c>
      <c r="G915" s="1854" t="s">
        <v>22</v>
      </c>
      <c r="H915" s="1854" t="s">
        <v>22</v>
      </c>
      <c r="I915" s="1854" t="s">
        <v>1171</v>
      </c>
    </row>
    <row customHeight="1" ht="11.25">
      <c r="A916" s="1854" t="s">
        <v>2542</v>
      </c>
      <c r="B916" s="1854" t="s">
        <v>16</v>
      </c>
      <c r="C916" s="1854" t="s">
        <v>2957</v>
      </c>
      <c r="D916" s="1854" t="s">
        <v>2958</v>
      </c>
      <c r="E916" s="1854" t="s">
        <v>2959</v>
      </c>
      <c r="F916" s="1854" t="s">
        <v>2751</v>
      </c>
      <c r="G916" s="1854" t="s">
        <v>22</v>
      </c>
      <c r="H916" s="1854" t="s">
        <v>22</v>
      </c>
      <c r="I916" s="1854" t="s">
        <v>1171</v>
      </c>
    </row>
    <row customHeight="1" ht="11.25">
      <c r="A917" s="1854" t="s">
        <v>2542</v>
      </c>
      <c r="B917" s="1854" t="s">
        <v>16</v>
      </c>
      <c r="C917" s="1854" t="s">
        <v>2960</v>
      </c>
      <c r="D917" s="1854" t="s">
        <v>2961</v>
      </c>
      <c r="E917" s="1854" t="s">
        <v>2962</v>
      </c>
      <c r="F917" s="1854" t="s">
        <v>2953</v>
      </c>
      <c r="G917" s="1854" t="s">
        <v>22</v>
      </c>
      <c r="H917" s="1854" t="s">
        <v>22</v>
      </c>
      <c r="I917" s="1854" t="s">
        <v>1171</v>
      </c>
    </row>
    <row customHeight="1" ht="11.25">
      <c r="A918" s="1854" t="s">
        <v>2542</v>
      </c>
      <c r="B918" s="1854" t="s">
        <v>16</v>
      </c>
      <c r="C918" s="1854" t="s">
        <v>2970</v>
      </c>
      <c r="D918" s="1854" t="s">
        <v>2971</v>
      </c>
      <c r="E918" s="1854" t="s">
        <v>2972</v>
      </c>
      <c r="F918" s="1854" t="s">
        <v>2973</v>
      </c>
      <c r="G918" s="1854" t="s">
        <v>2974</v>
      </c>
      <c r="H918" s="1854" t="s">
        <v>22</v>
      </c>
      <c r="I918" s="1854" t="s">
        <v>1171</v>
      </c>
    </row>
    <row customHeight="1" ht="11.25">
      <c r="A919" s="1854" t="s">
        <v>2542</v>
      </c>
      <c r="B919" s="1854" t="s">
        <v>16</v>
      </c>
      <c r="C919" s="1854" t="s">
        <v>4057</v>
      </c>
      <c r="D919" s="1854" t="s">
        <v>4058</v>
      </c>
      <c r="E919" s="1854" t="s">
        <v>4059</v>
      </c>
      <c r="F919" s="1854" t="s">
        <v>4060</v>
      </c>
      <c r="G919" s="1854" t="s">
        <v>4061</v>
      </c>
      <c r="H919" s="1854" t="s">
        <v>22</v>
      </c>
      <c r="I919" s="1854" t="s">
        <v>1171</v>
      </c>
    </row>
    <row customHeight="1" ht="11.25">
      <c r="A920" s="1854" t="s">
        <v>2542</v>
      </c>
      <c r="B920" s="1854" t="s">
        <v>16</v>
      </c>
      <c r="C920" s="1854" t="s">
        <v>4062</v>
      </c>
      <c r="D920" s="1854" t="s">
        <v>4063</v>
      </c>
      <c r="E920" s="1854" t="s">
        <v>4064</v>
      </c>
      <c r="F920" s="1854" t="s">
        <v>2785</v>
      </c>
      <c r="G920" s="1854" t="s">
        <v>22</v>
      </c>
      <c r="H920" s="1854" t="s">
        <v>22</v>
      </c>
      <c r="I920" s="1854" t="s">
        <v>1171</v>
      </c>
    </row>
    <row customHeight="1" ht="11.25">
      <c r="A921" s="1854" t="s">
        <v>2542</v>
      </c>
      <c r="B921" s="1854" t="s">
        <v>16</v>
      </c>
      <c r="C921" s="1854" t="s">
        <v>4321</v>
      </c>
      <c r="D921" s="1854" t="s">
        <v>4322</v>
      </c>
      <c r="E921" s="1854" t="s">
        <v>4323</v>
      </c>
      <c r="F921" s="1854" t="s">
        <v>2641</v>
      </c>
      <c r="G921" s="1854" t="s">
        <v>22</v>
      </c>
      <c r="H921" s="1854" t="s">
        <v>22</v>
      </c>
      <c r="I921" s="1854" t="s">
        <v>1171</v>
      </c>
    </row>
    <row customHeight="1" ht="11.25">
      <c r="A922" s="1854" t="s">
        <v>2542</v>
      </c>
      <c r="B922" s="1854" t="s">
        <v>16</v>
      </c>
      <c r="C922" s="1854" t="s">
        <v>4068</v>
      </c>
      <c r="D922" s="1854" t="s">
        <v>4069</v>
      </c>
      <c r="E922" s="1854" t="s">
        <v>4070</v>
      </c>
      <c r="F922" s="1854" t="s">
        <v>3302</v>
      </c>
      <c r="G922" s="1854" t="s">
        <v>22</v>
      </c>
      <c r="H922" s="1854" t="s">
        <v>22</v>
      </c>
      <c r="I922" s="1854" t="s">
        <v>1171</v>
      </c>
    </row>
    <row customHeight="1" ht="11.25">
      <c r="A923" s="1854" t="s">
        <v>2542</v>
      </c>
      <c r="B923" s="1854" t="s">
        <v>16</v>
      </c>
      <c r="C923" s="1854" t="s">
        <v>2985</v>
      </c>
      <c r="D923" s="1854" t="s">
        <v>2986</v>
      </c>
      <c r="E923" s="1854" t="s">
        <v>2987</v>
      </c>
      <c r="F923" s="1854" t="s">
        <v>2591</v>
      </c>
      <c r="G923" s="1854" t="s">
        <v>22</v>
      </c>
      <c r="H923" s="1854" t="s">
        <v>22</v>
      </c>
      <c r="I923" s="1854" t="s">
        <v>1171</v>
      </c>
    </row>
    <row customHeight="1" ht="11.25">
      <c r="A924" s="1854" t="s">
        <v>2542</v>
      </c>
      <c r="B924" s="1854" t="s">
        <v>16</v>
      </c>
      <c r="C924" s="1854" t="s">
        <v>2988</v>
      </c>
      <c r="D924" s="1854" t="s">
        <v>2989</v>
      </c>
      <c r="E924" s="1854" t="s">
        <v>2990</v>
      </c>
      <c r="F924" s="1854" t="s">
        <v>2991</v>
      </c>
      <c r="G924" s="1854" t="s">
        <v>22</v>
      </c>
      <c r="H924" s="1854" t="s">
        <v>22</v>
      </c>
      <c r="I924" s="1854" t="s">
        <v>1171</v>
      </c>
    </row>
    <row customHeight="1" ht="11.25">
      <c r="A925" s="1854" t="s">
        <v>2542</v>
      </c>
      <c r="B925" s="1854" t="s">
        <v>16</v>
      </c>
      <c r="C925" s="1854" t="s">
        <v>2992</v>
      </c>
      <c r="D925" s="1854" t="s">
        <v>2993</v>
      </c>
      <c r="E925" s="1854" t="s">
        <v>2994</v>
      </c>
      <c r="F925" s="1854" t="s">
        <v>2995</v>
      </c>
      <c r="G925" s="1854" t="s">
        <v>22</v>
      </c>
      <c r="H925" s="1854" t="s">
        <v>22</v>
      </c>
      <c r="I925" s="1854" t="s">
        <v>1171</v>
      </c>
    </row>
    <row customHeight="1" ht="11.25">
      <c r="A926" s="1854" t="s">
        <v>2542</v>
      </c>
      <c r="B926" s="1854" t="s">
        <v>16</v>
      </c>
      <c r="C926" s="1854" t="s">
        <v>4071</v>
      </c>
      <c r="D926" s="1854" t="s">
        <v>4072</v>
      </c>
      <c r="E926" s="1854" t="s">
        <v>4073</v>
      </c>
      <c r="F926" s="1854" t="s">
        <v>2599</v>
      </c>
      <c r="G926" s="1854" t="s">
        <v>22</v>
      </c>
      <c r="H926" s="1854" t="s">
        <v>22</v>
      </c>
      <c r="I926" s="1854" t="s">
        <v>1171</v>
      </c>
    </row>
    <row customHeight="1" ht="11.25">
      <c r="A927" s="1854" t="s">
        <v>2542</v>
      </c>
      <c r="B927" s="1854" t="s">
        <v>16</v>
      </c>
      <c r="C927" s="1854" t="s">
        <v>4074</v>
      </c>
      <c r="D927" s="1854" t="s">
        <v>4075</v>
      </c>
      <c r="E927" s="1854" t="s">
        <v>4076</v>
      </c>
      <c r="F927" s="1854" t="s">
        <v>3592</v>
      </c>
      <c r="G927" s="1854" t="s">
        <v>22</v>
      </c>
      <c r="H927" s="1854" t="s">
        <v>22</v>
      </c>
      <c r="I927" s="1854" t="s">
        <v>1171</v>
      </c>
    </row>
    <row customHeight="1" ht="11.25">
      <c r="A928" s="1854" t="s">
        <v>2542</v>
      </c>
      <c r="B928" s="1854" t="s">
        <v>16</v>
      </c>
      <c r="C928" s="1854" t="s">
        <v>4324</v>
      </c>
      <c r="D928" s="1854" t="s">
        <v>4325</v>
      </c>
      <c r="E928" s="1854" t="s">
        <v>4326</v>
      </c>
      <c r="F928" s="1854" t="s">
        <v>2733</v>
      </c>
      <c r="G928" s="1854" t="s">
        <v>22</v>
      </c>
      <c r="H928" s="1854" t="s">
        <v>22</v>
      </c>
      <c r="I928" s="1854" t="s">
        <v>1171</v>
      </c>
    </row>
    <row customHeight="1" ht="11.25">
      <c r="A929" s="1854" t="s">
        <v>2542</v>
      </c>
      <c r="B929" s="1854" t="s">
        <v>16</v>
      </c>
      <c r="C929" s="1854" t="s">
        <v>2996</v>
      </c>
      <c r="D929" s="1854" t="s">
        <v>2997</v>
      </c>
      <c r="E929" s="1854" t="s">
        <v>2998</v>
      </c>
      <c r="F929" s="1854" t="s">
        <v>2999</v>
      </c>
      <c r="G929" s="1854" t="s">
        <v>22</v>
      </c>
      <c r="H929" s="1854" t="s">
        <v>22</v>
      </c>
      <c r="I929" s="1854" t="s">
        <v>1171</v>
      </c>
    </row>
    <row customHeight="1" ht="11.25">
      <c r="A930" s="1854" t="s">
        <v>2542</v>
      </c>
      <c r="B930" s="1854" t="s">
        <v>16</v>
      </c>
      <c r="C930" s="1854" t="s">
        <v>3000</v>
      </c>
      <c r="D930" s="1854" t="s">
        <v>3001</v>
      </c>
      <c r="E930" s="1854" t="s">
        <v>3002</v>
      </c>
      <c r="F930" s="1854" t="s">
        <v>2813</v>
      </c>
      <c r="G930" s="1854" t="s">
        <v>22</v>
      </c>
      <c r="H930" s="1854" t="s">
        <v>22</v>
      </c>
      <c r="I930" s="1854" t="s">
        <v>1171</v>
      </c>
    </row>
    <row customHeight="1" ht="11.25">
      <c r="A931" s="1854" t="s">
        <v>2542</v>
      </c>
      <c r="B931" s="1854" t="s">
        <v>16</v>
      </c>
      <c r="C931" s="1854" t="s">
        <v>4084</v>
      </c>
      <c r="D931" s="1854" t="s">
        <v>4085</v>
      </c>
      <c r="E931" s="1854" t="s">
        <v>4086</v>
      </c>
      <c r="F931" s="1854" t="s">
        <v>2828</v>
      </c>
      <c r="G931" s="1854" t="s">
        <v>22</v>
      </c>
      <c r="H931" s="1854" t="s">
        <v>22</v>
      </c>
      <c r="I931" s="1854" t="s">
        <v>1171</v>
      </c>
    </row>
    <row customHeight="1" ht="11.25">
      <c r="A932" s="1854" t="s">
        <v>2542</v>
      </c>
      <c r="B932" s="1854" t="s">
        <v>16</v>
      </c>
      <c r="C932" s="1854" t="s">
        <v>3003</v>
      </c>
      <c r="D932" s="1854" t="s">
        <v>3004</v>
      </c>
      <c r="E932" s="1854" t="s">
        <v>3005</v>
      </c>
      <c r="F932" s="1854" t="s">
        <v>2610</v>
      </c>
      <c r="G932" s="1854" t="s">
        <v>22</v>
      </c>
      <c r="H932" s="1854" t="s">
        <v>22</v>
      </c>
      <c r="I932" s="1854" t="s">
        <v>1171</v>
      </c>
    </row>
    <row customHeight="1" ht="11.25">
      <c r="A933" s="1854" t="s">
        <v>2542</v>
      </c>
      <c r="B933" s="1854" t="s">
        <v>16</v>
      </c>
      <c r="C933" s="1854" t="s">
        <v>4087</v>
      </c>
      <c r="D933" s="1854" t="s">
        <v>3004</v>
      </c>
      <c r="E933" s="1854" t="s">
        <v>4088</v>
      </c>
      <c r="F933" s="1854" t="s">
        <v>3256</v>
      </c>
      <c r="G933" s="1854" t="s">
        <v>22</v>
      </c>
      <c r="H933" s="1854" t="s">
        <v>22</v>
      </c>
      <c r="I933" s="1854" t="s">
        <v>1171</v>
      </c>
    </row>
    <row customHeight="1" ht="11.25">
      <c r="A934" s="1854" t="s">
        <v>2542</v>
      </c>
      <c r="B934" s="1854" t="s">
        <v>16</v>
      </c>
      <c r="C934" s="1854" t="s">
        <v>3006</v>
      </c>
      <c r="D934" s="1854" t="s">
        <v>3007</v>
      </c>
      <c r="E934" s="1854" t="s">
        <v>3008</v>
      </c>
      <c r="F934" s="1854" t="s">
        <v>2817</v>
      </c>
      <c r="G934" s="1854" t="s">
        <v>22</v>
      </c>
      <c r="H934" s="1854" t="s">
        <v>22</v>
      </c>
      <c r="I934" s="1854" t="s">
        <v>1171</v>
      </c>
    </row>
    <row customHeight="1" ht="11.25">
      <c r="A935" s="1854" t="s">
        <v>2542</v>
      </c>
      <c r="B935" s="1854" t="s">
        <v>16</v>
      </c>
      <c r="C935" s="1854" t="s">
        <v>4092</v>
      </c>
      <c r="D935" s="1854" t="s">
        <v>4093</v>
      </c>
      <c r="E935" s="1854" t="s">
        <v>4094</v>
      </c>
      <c r="F935" s="1854" t="s">
        <v>2591</v>
      </c>
      <c r="G935" s="1854" t="s">
        <v>4095</v>
      </c>
      <c r="H935" s="1854" t="s">
        <v>22</v>
      </c>
      <c r="I935" s="1854" t="s">
        <v>1171</v>
      </c>
    </row>
    <row customHeight="1" ht="11.25">
      <c r="A936" s="1854" t="s">
        <v>2542</v>
      </c>
      <c r="B936" s="1854" t="s">
        <v>16</v>
      </c>
      <c r="C936" s="1854" t="s">
        <v>4096</v>
      </c>
      <c r="D936" s="1854" t="s">
        <v>4097</v>
      </c>
      <c r="E936" s="1854" t="s">
        <v>4098</v>
      </c>
      <c r="F936" s="1854" t="s">
        <v>2733</v>
      </c>
      <c r="G936" s="1854" t="s">
        <v>22</v>
      </c>
      <c r="H936" s="1854" t="s">
        <v>22</v>
      </c>
      <c r="I936" s="1854" t="s">
        <v>1171</v>
      </c>
    </row>
    <row customHeight="1" ht="11.25">
      <c r="A937" s="1854" t="s">
        <v>2542</v>
      </c>
      <c r="B937" s="1854" t="s">
        <v>16</v>
      </c>
      <c r="C937" s="1854" t="s">
        <v>4099</v>
      </c>
      <c r="D937" s="1854" t="s">
        <v>4100</v>
      </c>
      <c r="E937" s="1854" t="s">
        <v>4101</v>
      </c>
      <c r="F937" s="1854" t="s">
        <v>3256</v>
      </c>
      <c r="G937" s="1854" t="s">
        <v>22</v>
      </c>
      <c r="H937" s="1854" t="s">
        <v>22</v>
      </c>
      <c r="I937" s="1854" t="s">
        <v>1171</v>
      </c>
    </row>
    <row customHeight="1" ht="11.25">
      <c r="A938" s="1854" t="s">
        <v>2542</v>
      </c>
      <c r="B938" s="1854" t="s">
        <v>16</v>
      </c>
      <c r="C938" s="1854" t="s">
        <v>4102</v>
      </c>
      <c r="D938" s="1854" t="s">
        <v>4103</v>
      </c>
      <c r="E938" s="1854" t="s">
        <v>4104</v>
      </c>
      <c r="F938" s="1854" t="s">
        <v>3065</v>
      </c>
      <c r="G938" s="1854" t="s">
        <v>22</v>
      </c>
      <c r="H938" s="1854" t="s">
        <v>22</v>
      </c>
      <c r="I938" s="1854" t="s">
        <v>1171</v>
      </c>
    </row>
    <row customHeight="1" ht="11.25">
      <c r="A939" s="1854" t="s">
        <v>2542</v>
      </c>
      <c r="B939" s="1854" t="s">
        <v>16</v>
      </c>
      <c r="C939" s="1854" t="s">
        <v>3012</v>
      </c>
      <c r="D939" s="1854" t="s">
        <v>3013</v>
      </c>
      <c r="E939" s="1854" t="s">
        <v>3014</v>
      </c>
      <c r="F939" s="1854" t="s">
        <v>2991</v>
      </c>
      <c r="G939" s="1854" t="s">
        <v>22</v>
      </c>
      <c r="H939" s="1854" t="s">
        <v>22</v>
      </c>
      <c r="I939" s="1854" t="s">
        <v>1171</v>
      </c>
    </row>
    <row customHeight="1" ht="11.25">
      <c r="A940" s="1854" t="s">
        <v>2542</v>
      </c>
      <c r="B940" s="1854" t="s">
        <v>16</v>
      </c>
      <c r="C940" s="1854" t="s">
        <v>3015</v>
      </c>
      <c r="D940" s="1854" t="s">
        <v>3016</v>
      </c>
      <c r="E940" s="1854" t="s">
        <v>3017</v>
      </c>
      <c r="F940" s="1854" t="s">
        <v>2821</v>
      </c>
      <c r="G940" s="1854" t="s">
        <v>22</v>
      </c>
      <c r="H940" s="1854" t="s">
        <v>22</v>
      </c>
      <c r="I940" s="1854" t="s">
        <v>1171</v>
      </c>
    </row>
    <row customHeight="1" ht="11.25">
      <c r="A941" s="1854" t="s">
        <v>2542</v>
      </c>
      <c r="B941" s="1854" t="s">
        <v>16</v>
      </c>
      <c r="C941" s="1854" t="s">
        <v>3018</v>
      </c>
      <c r="D941" s="1854" t="s">
        <v>3019</v>
      </c>
      <c r="E941" s="1854" t="s">
        <v>3020</v>
      </c>
      <c r="F941" s="1854" t="s">
        <v>2973</v>
      </c>
      <c r="G941" s="1854" t="s">
        <v>22</v>
      </c>
      <c r="H941" s="1854" t="s">
        <v>22</v>
      </c>
      <c r="I941" s="1854" t="s">
        <v>1171</v>
      </c>
    </row>
    <row customHeight="1" ht="11.25">
      <c r="A942" s="1854" t="s">
        <v>2542</v>
      </c>
      <c r="B942" s="1854" t="s">
        <v>16</v>
      </c>
      <c r="C942" s="1854" t="s">
        <v>3021</v>
      </c>
      <c r="D942" s="1854" t="s">
        <v>3022</v>
      </c>
      <c r="E942" s="1854" t="s">
        <v>3023</v>
      </c>
      <c r="F942" s="1854" t="s">
        <v>2973</v>
      </c>
      <c r="G942" s="1854" t="s">
        <v>22</v>
      </c>
      <c r="H942" s="1854" t="s">
        <v>22</v>
      </c>
      <c r="I942" s="1854" t="s">
        <v>1171</v>
      </c>
    </row>
    <row customHeight="1" ht="11.25">
      <c r="A943" s="1854" t="s">
        <v>2542</v>
      </c>
      <c r="B943" s="1854" t="s">
        <v>16</v>
      </c>
      <c r="C943" s="1854" t="s">
        <v>3024</v>
      </c>
      <c r="D943" s="1854" t="s">
        <v>3025</v>
      </c>
      <c r="E943" s="1854" t="s">
        <v>3026</v>
      </c>
      <c r="F943" s="1854" t="s">
        <v>2973</v>
      </c>
      <c r="G943" s="1854" t="s">
        <v>22</v>
      </c>
      <c r="H943" s="1854" t="s">
        <v>22</v>
      </c>
      <c r="I943" s="1854" t="s">
        <v>1171</v>
      </c>
    </row>
    <row customHeight="1" ht="11.25">
      <c r="A944" s="1854" t="s">
        <v>2542</v>
      </c>
      <c r="B944" s="1854" t="s">
        <v>16</v>
      </c>
      <c r="C944" s="1854" t="s">
        <v>3027</v>
      </c>
      <c r="D944" s="1854" t="s">
        <v>3028</v>
      </c>
      <c r="E944" s="1854" t="s">
        <v>3029</v>
      </c>
      <c r="F944" s="1854" t="s">
        <v>2973</v>
      </c>
      <c r="G944" s="1854" t="s">
        <v>22</v>
      </c>
      <c r="H944" s="1854" t="s">
        <v>22</v>
      </c>
      <c r="I944" s="1854" t="s">
        <v>1171</v>
      </c>
    </row>
    <row customHeight="1" ht="11.25">
      <c r="A945" s="1854" t="s">
        <v>2542</v>
      </c>
      <c r="B945" s="1854" t="s">
        <v>16</v>
      </c>
      <c r="C945" s="1854" t="s">
        <v>3030</v>
      </c>
      <c r="D945" s="1854" t="s">
        <v>3031</v>
      </c>
      <c r="E945" s="1854" t="s">
        <v>3032</v>
      </c>
      <c r="F945" s="1854" t="s">
        <v>2973</v>
      </c>
      <c r="G945" s="1854" t="s">
        <v>22</v>
      </c>
      <c r="H945" s="1854" t="s">
        <v>22</v>
      </c>
      <c r="I945" s="1854" t="s">
        <v>1171</v>
      </c>
    </row>
    <row customHeight="1" ht="11.25">
      <c r="A946" s="1854" t="s">
        <v>2542</v>
      </c>
      <c r="B946" s="1854" t="s">
        <v>16</v>
      </c>
      <c r="C946" s="1854" t="s">
        <v>3033</v>
      </c>
      <c r="D946" s="1854" t="s">
        <v>3034</v>
      </c>
      <c r="E946" s="1854" t="s">
        <v>3035</v>
      </c>
      <c r="F946" s="1854" t="s">
        <v>2973</v>
      </c>
      <c r="G946" s="1854" t="s">
        <v>22</v>
      </c>
      <c r="H946" s="1854" t="s">
        <v>22</v>
      </c>
      <c r="I946" s="1854" t="s">
        <v>1171</v>
      </c>
    </row>
    <row customHeight="1" ht="11.25">
      <c r="A947" s="1854" t="s">
        <v>2542</v>
      </c>
      <c r="B947" s="1854" t="s">
        <v>16</v>
      </c>
      <c r="C947" s="1854" t="s">
        <v>3036</v>
      </c>
      <c r="D947" s="1854" t="s">
        <v>3037</v>
      </c>
      <c r="E947" s="1854" t="s">
        <v>3038</v>
      </c>
      <c r="F947" s="1854" t="s">
        <v>2641</v>
      </c>
      <c r="G947" s="1854" t="s">
        <v>22</v>
      </c>
      <c r="H947" s="1854" t="s">
        <v>22</v>
      </c>
      <c r="I947" s="1854" t="s">
        <v>1171</v>
      </c>
    </row>
    <row customHeight="1" ht="11.25">
      <c r="A948" s="1854" t="s">
        <v>2542</v>
      </c>
      <c r="B948" s="1854" t="s">
        <v>16</v>
      </c>
      <c r="C948" s="1854" t="s">
        <v>3039</v>
      </c>
      <c r="D948" s="1854" t="s">
        <v>3040</v>
      </c>
      <c r="E948" s="1854" t="s">
        <v>3041</v>
      </c>
      <c r="F948" s="1854" t="s">
        <v>2973</v>
      </c>
      <c r="G948" s="1854" t="s">
        <v>22</v>
      </c>
      <c r="H948" s="1854" t="s">
        <v>22</v>
      </c>
      <c r="I948" s="1854" t="s">
        <v>1171</v>
      </c>
    </row>
    <row customHeight="1" ht="11.25">
      <c r="A949" s="1854" t="s">
        <v>2542</v>
      </c>
      <c r="B949" s="1854" t="s">
        <v>16</v>
      </c>
      <c r="C949" s="1854" t="s">
        <v>3042</v>
      </c>
      <c r="D949" s="1854" t="s">
        <v>3043</v>
      </c>
      <c r="E949" s="1854" t="s">
        <v>3044</v>
      </c>
      <c r="F949" s="1854" t="s">
        <v>3045</v>
      </c>
      <c r="G949" s="1854" t="s">
        <v>22</v>
      </c>
      <c r="H949" s="1854" t="s">
        <v>22</v>
      </c>
      <c r="I949" s="1854" t="s">
        <v>1171</v>
      </c>
    </row>
    <row customHeight="1" ht="11.25">
      <c r="A950" s="1854" t="s">
        <v>2542</v>
      </c>
      <c r="B950" s="1854" t="s">
        <v>16</v>
      </c>
      <c r="C950" s="1854" t="s">
        <v>3046</v>
      </c>
      <c r="D950" s="1854" t="s">
        <v>3047</v>
      </c>
      <c r="E950" s="1854" t="s">
        <v>3048</v>
      </c>
      <c r="F950" s="1854" t="s">
        <v>2973</v>
      </c>
      <c r="G950" s="1854" t="s">
        <v>22</v>
      </c>
      <c r="H950" s="1854" t="s">
        <v>22</v>
      </c>
      <c r="I950" s="1854" t="s">
        <v>1171</v>
      </c>
    </row>
    <row customHeight="1" ht="11.25">
      <c r="A951" s="1854" t="s">
        <v>2542</v>
      </c>
      <c r="B951" s="1854" t="s">
        <v>16</v>
      </c>
      <c r="C951" s="1854" t="s">
        <v>3049</v>
      </c>
      <c r="D951" s="1854" t="s">
        <v>3050</v>
      </c>
      <c r="E951" s="1854" t="s">
        <v>3051</v>
      </c>
      <c r="F951" s="1854" t="s">
        <v>3052</v>
      </c>
      <c r="G951" s="1854" t="s">
        <v>22</v>
      </c>
      <c r="H951" s="1854" t="s">
        <v>22</v>
      </c>
      <c r="I951" s="1854" t="s">
        <v>1171</v>
      </c>
    </row>
    <row customHeight="1" ht="11.25">
      <c r="A952" s="1854" t="s">
        <v>2542</v>
      </c>
      <c r="B952" s="1854" t="s">
        <v>16</v>
      </c>
      <c r="C952" s="1854" t="s">
        <v>3053</v>
      </c>
      <c r="D952" s="1854" t="s">
        <v>3054</v>
      </c>
      <c r="E952" s="1854" t="s">
        <v>3055</v>
      </c>
      <c r="F952" s="1854" t="s">
        <v>2794</v>
      </c>
      <c r="G952" s="1854" t="s">
        <v>22</v>
      </c>
      <c r="H952" s="1854" t="s">
        <v>22</v>
      </c>
      <c r="I952" s="1854" t="s">
        <v>1171</v>
      </c>
    </row>
    <row customHeight="1" ht="11.25">
      <c r="A953" s="1854" t="s">
        <v>2542</v>
      </c>
      <c r="B953" s="1854" t="s">
        <v>16</v>
      </c>
      <c r="C953" s="1854" t="s">
        <v>3056</v>
      </c>
      <c r="D953" s="1854" t="s">
        <v>3057</v>
      </c>
      <c r="E953" s="1854" t="s">
        <v>3058</v>
      </c>
      <c r="F953" s="1854" t="s">
        <v>2817</v>
      </c>
      <c r="G953" s="1854" t="s">
        <v>22</v>
      </c>
      <c r="H953" s="1854" t="s">
        <v>22</v>
      </c>
      <c r="I953" s="1854" t="s">
        <v>1171</v>
      </c>
    </row>
    <row customHeight="1" ht="11.25">
      <c r="A954" s="1854" t="s">
        <v>2542</v>
      </c>
      <c r="B954" s="1854" t="s">
        <v>16</v>
      </c>
      <c r="C954" s="1854" t="s">
        <v>3059</v>
      </c>
      <c r="D954" s="1854" t="s">
        <v>3060</v>
      </c>
      <c r="E954" s="1854" t="s">
        <v>3061</v>
      </c>
      <c r="F954" s="1854" t="s">
        <v>2591</v>
      </c>
      <c r="G954" s="1854" t="s">
        <v>22</v>
      </c>
      <c r="H954" s="1854" t="s">
        <v>22</v>
      </c>
      <c r="I954" s="1854" t="s">
        <v>1171</v>
      </c>
    </row>
    <row customHeight="1" ht="11.25">
      <c r="A955" s="1854" t="s">
        <v>2542</v>
      </c>
      <c r="B955" s="1854" t="s">
        <v>16</v>
      </c>
      <c r="C955" s="1854" t="s">
        <v>4111</v>
      </c>
      <c r="D955" s="1854" t="s">
        <v>4112</v>
      </c>
      <c r="E955" s="1854" t="s">
        <v>4113</v>
      </c>
      <c r="F955" s="1854" t="s">
        <v>3109</v>
      </c>
      <c r="G955" s="1854" t="s">
        <v>22</v>
      </c>
      <c r="H955" s="1854" t="s">
        <v>22</v>
      </c>
      <c r="I955" s="1854" t="s">
        <v>1171</v>
      </c>
    </row>
    <row customHeight="1" ht="11.25">
      <c r="A956" s="1854" t="s">
        <v>2542</v>
      </c>
      <c r="B956" s="1854" t="s">
        <v>16</v>
      </c>
      <c r="C956" s="1854" t="s">
        <v>3066</v>
      </c>
      <c r="D956" s="1854" t="s">
        <v>3067</v>
      </c>
      <c r="E956" s="1854" t="s">
        <v>3068</v>
      </c>
      <c r="F956" s="1854" t="s">
        <v>2821</v>
      </c>
      <c r="G956" s="1854" t="s">
        <v>22</v>
      </c>
      <c r="H956" s="1854" t="s">
        <v>22</v>
      </c>
      <c r="I956" s="1854" t="s">
        <v>1171</v>
      </c>
    </row>
    <row customHeight="1" ht="11.25">
      <c r="A957" s="1854" t="s">
        <v>2542</v>
      </c>
      <c r="B957" s="1854" t="s">
        <v>16</v>
      </c>
      <c r="C957" s="1854" t="s">
        <v>3072</v>
      </c>
      <c r="D957" s="1854" t="s">
        <v>3073</v>
      </c>
      <c r="E957" s="1854" t="s">
        <v>3074</v>
      </c>
      <c r="F957" s="1854" t="s">
        <v>2817</v>
      </c>
      <c r="G957" s="1854" t="s">
        <v>22</v>
      </c>
      <c r="H957" s="1854" t="s">
        <v>22</v>
      </c>
      <c r="I957" s="1854" t="s">
        <v>1171</v>
      </c>
    </row>
    <row customHeight="1" ht="11.25">
      <c r="A958" s="1854" t="s">
        <v>2542</v>
      </c>
      <c r="B958" s="1854" t="s">
        <v>16</v>
      </c>
      <c r="C958" s="1854" t="s">
        <v>4117</v>
      </c>
      <c r="D958" s="1854" t="s">
        <v>4118</v>
      </c>
      <c r="E958" s="1854" t="s">
        <v>4119</v>
      </c>
      <c r="F958" s="1854" t="s">
        <v>2801</v>
      </c>
      <c r="G958" s="1854" t="s">
        <v>22</v>
      </c>
      <c r="H958" s="1854" t="s">
        <v>22</v>
      </c>
      <c r="I958" s="1854" t="s">
        <v>1171</v>
      </c>
    </row>
    <row customHeight="1" ht="11.25">
      <c r="A959" s="1854" t="s">
        <v>2542</v>
      </c>
      <c r="B959" s="1854" t="s">
        <v>16</v>
      </c>
      <c r="C959" s="1854" t="s">
        <v>4120</v>
      </c>
      <c r="D959" s="1854" t="s">
        <v>4121</v>
      </c>
      <c r="E959" s="1854" t="s">
        <v>4122</v>
      </c>
      <c r="F959" s="1854" t="s">
        <v>2801</v>
      </c>
      <c r="G959" s="1854" t="s">
        <v>22</v>
      </c>
      <c r="H959" s="1854" t="s">
        <v>22</v>
      </c>
      <c r="I959" s="1854" t="s">
        <v>1171</v>
      </c>
    </row>
    <row customHeight="1" ht="11.25">
      <c r="A960" s="1854" t="s">
        <v>2542</v>
      </c>
      <c r="B960" s="1854" t="s">
        <v>16</v>
      </c>
      <c r="C960" s="1854" t="s">
        <v>3078</v>
      </c>
      <c r="D960" s="1854" t="s">
        <v>3079</v>
      </c>
      <c r="E960" s="1854" t="s">
        <v>3080</v>
      </c>
      <c r="F960" s="1854" t="s">
        <v>2591</v>
      </c>
      <c r="G960" s="1854" t="s">
        <v>22</v>
      </c>
      <c r="H960" s="1854" t="s">
        <v>22</v>
      </c>
      <c r="I960" s="1854" t="s">
        <v>1171</v>
      </c>
    </row>
    <row customHeight="1" ht="11.25">
      <c r="A961" s="1854" t="s">
        <v>2542</v>
      </c>
      <c r="B961" s="1854" t="s">
        <v>16</v>
      </c>
      <c r="C961" s="1854" t="s">
        <v>3081</v>
      </c>
      <c r="D961" s="1854" t="s">
        <v>3082</v>
      </c>
      <c r="E961" s="1854" t="s">
        <v>3083</v>
      </c>
      <c r="F961" s="1854" t="s">
        <v>2591</v>
      </c>
      <c r="G961" s="1854" t="s">
        <v>22</v>
      </c>
      <c r="H961" s="1854" t="s">
        <v>22</v>
      </c>
      <c r="I961" s="1854" t="s">
        <v>1171</v>
      </c>
    </row>
    <row customHeight="1" ht="11.25">
      <c r="A962" s="1854" t="s">
        <v>2542</v>
      </c>
      <c r="B962" s="1854" t="s">
        <v>16</v>
      </c>
      <c r="C962" s="1854" t="s">
        <v>4123</v>
      </c>
      <c r="D962" s="1854" t="s">
        <v>4124</v>
      </c>
      <c r="E962" s="1854" t="s">
        <v>4125</v>
      </c>
      <c r="F962" s="1854" t="s">
        <v>2817</v>
      </c>
      <c r="G962" s="1854" t="s">
        <v>22</v>
      </c>
      <c r="H962" s="1854" t="s">
        <v>22</v>
      </c>
      <c r="I962" s="1854" t="s">
        <v>1171</v>
      </c>
    </row>
    <row customHeight="1" ht="11.25">
      <c r="A963" s="1854" t="s">
        <v>2542</v>
      </c>
      <c r="B963" s="1854" t="s">
        <v>16</v>
      </c>
      <c r="C963" s="1854" t="s">
        <v>4126</v>
      </c>
      <c r="D963" s="1854" t="s">
        <v>4127</v>
      </c>
      <c r="E963" s="1854" t="s">
        <v>4128</v>
      </c>
      <c r="F963" s="1854" t="s">
        <v>2917</v>
      </c>
      <c r="G963" s="1854" t="s">
        <v>4129</v>
      </c>
      <c r="H963" s="1854" t="s">
        <v>22</v>
      </c>
      <c r="I963" s="1854" t="s">
        <v>1171</v>
      </c>
    </row>
    <row customHeight="1" ht="11.25">
      <c r="A964" s="1854" t="s">
        <v>2542</v>
      </c>
      <c r="B964" s="1854" t="s">
        <v>16</v>
      </c>
      <c r="C964" s="1854" t="s">
        <v>3090</v>
      </c>
      <c r="D964" s="1854" t="s">
        <v>3091</v>
      </c>
      <c r="E964" s="1854" t="s">
        <v>3092</v>
      </c>
      <c r="F964" s="1854" t="s">
        <v>2813</v>
      </c>
      <c r="G964" s="1854" t="s">
        <v>22</v>
      </c>
      <c r="H964" s="1854" t="s">
        <v>22</v>
      </c>
      <c r="I964" s="1854" t="s">
        <v>1171</v>
      </c>
    </row>
    <row customHeight="1" ht="11.25">
      <c r="A965" s="1854" t="s">
        <v>2542</v>
      </c>
      <c r="B965" s="1854" t="s">
        <v>16</v>
      </c>
      <c r="C965" s="1854" t="s">
        <v>3093</v>
      </c>
      <c r="D965" s="1854" t="s">
        <v>3094</v>
      </c>
      <c r="E965" s="1854" t="s">
        <v>3095</v>
      </c>
      <c r="F965" s="1854" t="s">
        <v>2809</v>
      </c>
      <c r="G965" s="1854" t="s">
        <v>22</v>
      </c>
      <c r="H965" s="1854" t="s">
        <v>22</v>
      </c>
      <c r="I965" s="1854" t="s">
        <v>1171</v>
      </c>
    </row>
    <row customHeight="1" ht="11.25">
      <c r="A966" s="1854" t="s">
        <v>2542</v>
      </c>
      <c r="B966" s="1854" t="s">
        <v>16</v>
      </c>
      <c r="C966" s="1854" t="s">
        <v>3096</v>
      </c>
      <c r="D966" s="1854" t="s">
        <v>3097</v>
      </c>
      <c r="E966" s="1854" t="s">
        <v>3098</v>
      </c>
      <c r="F966" s="1854" t="s">
        <v>2973</v>
      </c>
      <c r="G966" s="1854" t="s">
        <v>22</v>
      </c>
      <c r="H966" s="1854" t="s">
        <v>22</v>
      </c>
      <c r="I966" s="1854" t="s">
        <v>1171</v>
      </c>
    </row>
    <row customHeight="1" ht="11.25">
      <c r="A967" s="1854" t="s">
        <v>2542</v>
      </c>
      <c r="B967" s="1854" t="s">
        <v>16</v>
      </c>
      <c r="C967" s="1854" t="s">
        <v>3099</v>
      </c>
      <c r="D967" s="1854" t="s">
        <v>3100</v>
      </c>
      <c r="E967" s="1854" t="s">
        <v>3101</v>
      </c>
      <c r="F967" s="1854" t="s">
        <v>3102</v>
      </c>
      <c r="G967" s="1854" t="s">
        <v>22</v>
      </c>
      <c r="H967" s="1854" t="s">
        <v>22</v>
      </c>
      <c r="I967" s="1854" t="s">
        <v>1171</v>
      </c>
    </row>
    <row customHeight="1" ht="11.25">
      <c r="A968" s="1854" t="s">
        <v>2542</v>
      </c>
      <c r="B968" s="1854" t="s">
        <v>16</v>
      </c>
      <c r="C968" s="1854" t="s">
        <v>3103</v>
      </c>
      <c r="D968" s="1854" t="s">
        <v>3104</v>
      </c>
      <c r="E968" s="1854" t="s">
        <v>3105</v>
      </c>
      <c r="F968" s="1854" t="s">
        <v>2599</v>
      </c>
      <c r="G968" s="1854" t="s">
        <v>22</v>
      </c>
      <c r="H968" s="1854" t="s">
        <v>22</v>
      </c>
      <c r="I968" s="1854" t="s">
        <v>1171</v>
      </c>
    </row>
    <row customHeight="1" ht="11.25">
      <c r="A969" s="1854" t="s">
        <v>2542</v>
      </c>
      <c r="B969" s="1854" t="s">
        <v>16</v>
      </c>
      <c r="C969" s="1854" t="s">
        <v>3106</v>
      </c>
      <c r="D969" s="1854" t="s">
        <v>3107</v>
      </c>
      <c r="E969" s="1854" t="s">
        <v>3108</v>
      </c>
      <c r="F969" s="1854" t="s">
        <v>3109</v>
      </c>
      <c r="G969" s="1854" t="s">
        <v>22</v>
      </c>
      <c r="H969" s="1854" t="s">
        <v>22</v>
      </c>
      <c r="I969" s="1854" t="s">
        <v>1171</v>
      </c>
    </row>
    <row customHeight="1" ht="11.25">
      <c r="A970" s="1854" t="s">
        <v>2542</v>
      </c>
      <c r="B970" s="1854" t="s">
        <v>16</v>
      </c>
      <c r="C970" s="1854" t="s">
        <v>3110</v>
      </c>
      <c r="D970" s="1854" t="s">
        <v>3111</v>
      </c>
      <c r="E970" s="1854" t="s">
        <v>3112</v>
      </c>
      <c r="F970" s="1854" t="s">
        <v>2973</v>
      </c>
      <c r="G970" s="1854" t="s">
        <v>22</v>
      </c>
      <c r="H970" s="1854" t="s">
        <v>22</v>
      </c>
      <c r="I970" s="1854" t="s">
        <v>1171</v>
      </c>
    </row>
    <row customHeight="1" ht="11.25">
      <c r="A971" s="1854" t="s">
        <v>2542</v>
      </c>
      <c r="B971" s="1854" t="s">
        <v>16</v>
      </c>
      <c r="C971" s="1854" t="s">
        <v>3116</v>
      </c>
      <c r="D971" s="1854" t="s">
        <v>3117</v>
      </c>
      <c r="E971" s="1854" t="s">
        <v>3118</v>
      </c>
      <c r="F971" s="1854" t="s">
        <v>2991</v>
      </c>
      <c r="G971" s="1854" t="s">
        <v>22</v>
      </c>
      <c r="H971" s="1854" t="s">
        <v>22</v>
      </c>
      <c r="I971" s="1854" t="s">
        <v>1171</v>
      </c>
    </row>
    <row customHeight="1" ht="11.25">
      <c r="A972" s="1854" t="s">
        <v>2542</v>
      </c>
      <c r="B972" s="1854" t="s">
        <v>16</v>
      </c>
      <c r="C972" s="1854" t="s">
        <v>3119</v>
      </c>
      <c r="D972" s="1854" t="s">
        <v>3120</v>
      </c>
      <c r="E972" s="1854" t="s">
        <v>3121</v>
      </c>
      <c r="F972" s="1854" t="s">
        <v>3122</v>
      </c>
      <c r="G972" s="1854" t="s">
        <v>22</v>
      </c>
      <c r="H972" s="1854" t="s">
        <v>22</v>
      </c>
      <c r="I972" s="1854" t="s">
        <v>1171</v>
      </c>
    </row>
    <row customHeight="1" ht="11.25">
      <c r="A973" s="1854" t="s">
        <v>2542</v>
      </c>
      <c r="B973" s="1854" t="s">
        <v>16</v>
      </c>
      <c r="C973" s="1854" t="s">
        <v>4133</v>
      </c>
      <c r="D973" s="1854" t="s">
        <v>4134</v>
      </c>
      <c r="E973" s="1854" t="s">
        <v>4135</v>
      </c>
      <c r="F973" s="1854" t="s">
        <v>3181</v>
      </c>
      <c r="G973" s="1854" t="s">
        <v>22</v>
      </c>
      <c r="H973" s="1854" t="s">
        <v>22</v>
      </c>
      <c r="I973" s="1854" t="s">
        <v>1171</v>
      </c>
    </row>
    <row customHeight="1" ht="11.25">
      <c r="A974" s="1854" t="s">
        <v>2542</v>
      </c>
      <c r="B974" s="1854" t="s">
        <v>16</v>
      </c>
      <c r="C974" s="1854" t="s">
        <v>3123</v>
      </c>
      <c r="D974" s="1854" t="s">
        <v>3124</v>
      </c>
      <c r="E974" s="1854" t="s">
        <v>3125</v>
      </c>
      <c r="F974" s="1854" t="s">
        <v>2828</v>
      </c>
      <c r="G974" s="1854" t="s">
        <v>22</v>
      </c>
      <c r="H974" s="1854" t="s">
        <v>22</v>
      </c>
      <c r="I974" s="1854" t="s">
        <v>1171</v>
      </c>
    </row>
    <row customHeight="1" ht="11.25">
      <c r="A975" s="1854" t="s">
        <v>2542</v>
      </c>
      <c r="B975" s="1854" t="s">
        <v>16</v>
      </c>
      <c r="C975" s="1854" t="s">
        <v>3126</v>
      </c>
      <c r="D975" s="1854" t="s">
        <v>3127</v>
      </c>
      <c r="E975" s="1854" t="s">
        <v>3128</v>
      </c>
      <c r="F975" s="1854" t="s">
        <v>3129</v>
      </c>
      <c r="G975" s="1854" t="s">
        <v>22</v>
      </c>
      <c r="H975" s="1854" t="s">
        <v>22</v>
      </c>
      <c r="I975" s="1854" t="s">
        <v>1171</v>
      </c>
    </row>
    <row customHeight="1" ht="11.25">
      <c r="A976" s="1854" t="s">
        <v>2542</v>
      </c>
      <c r="B976" s="1854" t="s">
        <v>16</v>
      </c>
      <c r="C976" s="1854" t="s">
        <v>3130</v>
      </c>
      <c r="D976" s="1854" t="s">
        <v>3131</v>
      </c>
      <c r="E976" s="1854" t="s">
        <v>3132</v>
      </c>
      <c r="F976" s="1854" t="s">
        <v>2610</v>
      </c>
      <c r="G976" s="1854" t="s">
        <v>22</v>
      </c>
      <c r="H976" s="1854" t="s">
        <v>22</v>
      </c>
      <c r="I976" s="1854" t="s">
        <v>1171</v>
      </c>
    </row>
    <row customHeight="1" ht="11.25">
      <c r="A977" s="1854" t="s">
        <v>2542</v>
      </c>
      <c r="B977" s="1854" t="s">
        <v>16</v>
      </c>
      <c r="C977" s="1854" t="s">
        <v>4143</v>
      </c>
      <c r="D977" s="1854" t="s">
        <v>4144</v>
      </c>
      <c r="E977" s="1854" t="s">
        <v>4145</v>
      </c>
      <c r="F977" s="1854" t="s">
        <v>2821</v>
      </c>
      <c r="G977" s="1854" t="s">
        <v>22</v>
      </c>
      <c r="H977" s="1854" t="s">
        <v>22</v>
      </c>
      <c r="I977" s="1854" t="s">
        <v>1171</v>
      </c>
    </row>
    <row customHeight="1" ht="11.25">
      <c r="A978" s="1854" t="s">
        <v>2542</v>
      </c>
      <c r="B978" s="1854" t="s">
        <v>16</v>
      </c>
      <c r="C978" s="1854" t="s">
        <v>3133</v>
      </c>
      <c r="D978" s="1854" t="s">
        <v>3134</v>
      </c>
      <c r="E978" s="1854" t="s">
        <v>3135</v>
      </c>
      <c r="F978" s="1854" t="s">
        <v>2805</v>
      </c>
      <c r="G978" s="1854" t="s">
        <v>22</v>
      </c>
      <c r="H978" s="1854" t="s">
        <v>22</v>
      </c>
      <c r="I978" s="1854" t="s">
        <v>1171</v>
      </c>
    </row>
    <row customHeight="1" ht="11.25">
      <c r="A979" s="1854" t="s">
        <v>2542</v>
      </c>
      <c r="B979" s="1854" t="s">
        <v>16</v>
      </c>
      <c r="C979" s="1854" t="s">
        <v>3136</v>
      </c>
      <c r="D979" s="1854" t="s">
        <v>3137</v>
      </c>
      <c r="E979" s="1854" t="s">
        <v>3138</v>
      </c>
      <c r="F979" s="1854" t="s">
        <v>2925</v>
      </c>
      <c r="G979" s="1854" t="s">
        <v>3139</v>
      </c>
      <c r="H979" s="1854" t="s">
        <v>22</v>
      </c>
      <c r="I979" s="1854" t="s">
        <v>1171</v>
      </c>
    </row>
    <row customHeight="1" ht="11.25">
      <c r="A980" s="1854" t="s">
        <v>2542</v>
      </c>
      <c r="B980" s="1854" t="s">
        <v>16</v>
      </c>
      <c r="C980" s="1854" t="s">
        <v>3140</v>
      </c>
      <c r="D980" s="1854" t="s">
        <v>3141</v>
      </c>
      <c r="E980" s="1854" t="s">
        <v>3142</v>
      </c>
      <c r="F980" s="1854" t="s">
        <v>2984</v>
      </c>
      <c r="G980" s="1854" t="s">
        <v>22</v>
      </c>
      <c r="H980" s="1854" t="s">
        <v>22</v>
      </c>
      <c r="I980" s="1854" t="s">
        <v>1171</v>
      </c>
    </row>
    <row customHeight="1" ht="11.25">
      <c r="A981" s="1854" t="s">
        <v>2542</v>
      </c>
      <c r="B981" s="1854" t="s">
        <v>16</v>
      </c>
      <c r="C981" s="1854" t="s">
        <v>3143</v>
      </c>
      <c r="D981" s="1854" t="s">
        <v>3144</v>
      </c>
      <c r="E981" s="1854" t="s">
        <v>3145</v>
      </c>
      <c r="F981" s="1854" t="s">
        <v>2813</v>
      </c>
      <c r="G981" s="1854" t="s">
        <v>22</v>
      </c>
      <c r="H981" s="1854" t="s">
        <v>22</v>
      </c>
      <c r="I981" s="1854" t="s">
        <v>1171</v>
      </c>
    </row>
    <row customHeight="1" ht="11.25">
      <c r="A982" s="1854" t="s">
        <v>2542</v>
      </c>
      <c r="B982" s="1854" t="s">
        <v>16</v>
      </c>
      <c r="C982" s="1854" t="s">
        <v>3146</v>
      </c>
      <c r="D982" s="1854" t="s">
        <v>3147</v>
      </c>
      <c r="E982" s="1854" t="s">
        <v>3148</v>
      </c>
      <c r="F982" s="1854" t="s">
        <v>3149</v>
      </c>
      <c r="G982" s="1854" t="s">
        <v>22</v>
      </c>
      <c r="H982" s="1854" t="s">
        <v>22</v>
      </c>
      <c r="I982" s="1854" t="s">
        <v>1171</v>
      </c>
    </row>
    <row customHeight="1" ht="11.25">
      <c r="A983" s="1854" t="s">
        <v>2542</v>
      </c>
      <c r="B983" s="1854" t="s">
        <v>16</v>
      </c>
      <c r="C983" s="1854" t="s">
        <v>3150</v>
      </c>
      <c r="D983" s="1854" t="s">
        <v>3151</v>
      </c>
      <c r="E983" s="1854" t="s">
        <v>3152</v>
      </c>
      <c r="F983" s="1854" t="s">
        <v>2785</v>
      </c>
      <c r="G983" s="1854" t="s">
        <v>22</v>
      </c>
      <c r="H983" s="1854" t="s">
        <v>22</v>
      </c>
      <c r="I983" s="1854" t="s">
        <v>1171</v>
      </c>
    </row>
    <row customHeight="1" ht="11.25">
      <c r="A984" s="1854" t="s">
        <v>2542</v>
      </c>
      <c r="B984" s="1854" t="s">
        <v>16</v>
      </c>
      <c r="C984" s="1854" t="s">
        <v>3153</v>
      </c>
      <c r="D984" s="1854" t="s">
        <v>3154</v>
      </c>
      <c r="E984" s="1854" t="s">
        <v>3155</v>
      </c>
      <c r="F984" s="1854" t="s">
        <v>3156</v>
      </c>
      <c r="G984" s="1854" t="s">
        <v>22</v>
      </c>
      <c r="H984" s="1854" t="s">
        <v>22</v>
      </c>
      <c r="I984" s="1854" t="s">
        <v>1171</v>
      </c>
    </row>
    <row customHeight="1" ht="11.25">
      <c r="A985" s="1854" t="s">
        <v>2542</v>
      </c>
      <c r="B985" s="1854" t="s">
        <v>16</v>
      </c>
      <c r="C985" s="1854" t="s">
        <v>3157</v>
      </c>
      <c r="D985" s="1854" t="s">
        <v>3158</v>
      </c>
      <c r="E985" s="1854" t="s">
        <v>3159</v>
      </c>
      <c r="F985" s="1854" t="s">
        <v>2821</v>
      </c>
      <c r="G985" s="1854" t="s">
        <v>3160</v>
      </c>
      <c r="H985" s="1854" t="s">
        <v>22</v>
      </c>
      <c r="I985" s="1854" t="s">
        <v>1171</v>
      </c>
    </row>
    <row customHeight="1" ht="11.25">
      <c r="A986" s="1854" t="s">
        <v>2542</v>
      </c>
      <c r="B986" s="1854" t="s">
        <v>16</v>
      </c>
      <c r="C986" s="1854" t="s">
        <v>3161</v>
      </c>
      <c r="D986" s="1854" t="s">
        <v>3162</v>
      </c>
      <c r="E986" s="1854" t="s">
        <v>3163</v>
      </c>
      <c r="F986" s="1854" t="s">
        <v>2821</v>
      </c>
      <c r="G986" s="1854" t="s">
        <v>22</v>
      </c>
      <c r="H986" s="1854" t="s">
        <v>22</v>
      </c>
      <c r="I986" s="1854" t="s">
        <v>1171</v>
      </c>
    </row>
    <row customHeight="1" ht="11.25">
      <c r="A987" s="1854" t="s">
        <v>2542</v>
      </c>
      <c r="B987" s="1854" t="s">
        <v>16</v>
      </c>
      <c r="C987" s="1854" t="s">
        <v>3164</v>
      </c>
      <c r="D987" s="1854" t="s">
        <v>3165</v>
      </c>
      <c r="E987" s="1854" t="s">
        <v>3166</v>
      </c>
      <c r="F987" s="1854" t="s">
        <v>3167</v>
      </c>
      <c r="G987" s="1854" t="s">
        <v>22</v>
      </c>
      <c r="H987" s="1854" t="s">
        <v>22</v>
      </c>
      <c r="I987" s="1854" t="s">
        <v>1171</v>
      </c>
    </row>
    <row customHeight="1" ht="11.25">
      <c r="A988" s="1854" t="s">
        <v>2542</v>
      </c>
      <c r="B988" s="1854" t="s">
        <v>16</v>
      </c>
      <c r="C988" s="1854" t="s">
        <v>3168</v>
      </c>
      <c r="D988" s="1854" t="s">
        <v>3169</v>
      </c>
      <c r="E988" s="1854" t="s">
        <v>3170</v>
      </c>
      <c r="F988" s="1854" t="s">
        <v>2973</v>
      </c>
      <c r="G988" s="1854" t="s">
        <v>22</v>
      </c>
      <c r="H988" s="1854" t="s">
        <v>22</v>
      </c>
      <c r="I988" s="1854" t="s">
        <v>1171</v>
      </c>
    </row>
    <row customHeight="1" ht="11.25">
      <c r="A989" s="1854" t="s">
        <v>2542</v>
      </c>
      <c r="B989" s="1854" t="s">
        <v>16</v>
      </c>
      <c r="C989" s="1854" t="s">
        <v>3171</v>
      </c>
      <c r="D989" s="1854" t="s">
        <v>3172</v>
      </c>
      <c r="E989" s="1854" t="s">
        <v>3173</v>
      </c>
      <c r="F989" s="1854" t="s">
        <v>2785</v>
      </c>
      <c r="G989" s="1854" t="s">
        <v>3174</v>
      </c>
      <c r="H989" s="1854" t="s">
        <v>22</v>
      </c>
      <c r="I989" s="1854" t="s">
        <v>1171</v>
      </c>
    </row>
    <row customHeight="1" ht="11.25">
      <c r="A990" s="1854" t="s">
        <v>2542</v>
      </c>
      <c r="B990" s="1854" t="s">
        <v>16</v>
      </c>
      <c r="C990" s="1854" t="s">
        <v>3178</v>
      </c>
      <c r="D990" s="1854" t="s">
        <v>3179</v>
      </c>
      <c r="E990" s="1854" t="s">
        <v>3180</v>
      </c>
      <c r="F990" s="1854" t="s">
        <v>3181</v>
      </c>
      <c r="G990" s="1854" t="s">
        <v>22</v>
      </c>
      <c r="H990" s="1854" t="s">
        <v>22</v>
      </c>
      <c r="I990" s="1854" t="s">
        <v>1171</v>
      </c>
    </row>
    <row customHeight="1" ht="11.25">
      <c r="A991" s="1854" t="s">
        <v>2542</v>
      </c>
      <c r="B991" s="1854" t="s">
        <v>16</v>
      </c>
      <c r="C991" s="1854" t="s">
        <v>3182</v>
      </c>
      <c r="D991" s="1854" t="s">
        <v>3183</v>
      </c>
      <c r="E991" s="1854" t="s">
        <v>3184</v>
      </c>
      <c r="F991" s="1854" t="s">
        <v>3129</v>
      </c>
      <c r="G991" s="1854" t="s">
        <v>22</v>
      </c>
      <c r="H991" s="1854" t="s">
        <v>22</v>
      </c>
      <c r="I991" s="1854" t="s">
        <v>1171</v>
      </c>
    </row>
    <row customHeight="1" ht="11.25">
      <c r="A992" s="1854" t="s">
        <v>2542</v>
      </c>
      <c r="B992" s="1854" t="s">
        <v>16</v>
      </c>
      <c r="C992" s="1854" t="s">
        <v>3185</v>
      </c>
      <c r="D992" s="1854" t="s">
        <v>3186</v>
      </c>
      <c r="E992" s="1854" t="s">
        <v>3187</v>
      </c>
      <c r="F992" s="1854" t="s">
        <v>2925</v>
      </c>
      <c r="G992" s="1854" t="s">
        <v>3188</v>
      </c>
      <c r="H992" s="1854" t="s">
        <v>3189</v>
      </c>
      <c r="I992" s="1854" t="s">
        <v>1171</v>
      </c>
    </row>
    <row customHeight="1" ht="11.25">
      <c r="A993" s="1854" t="s">
        <v>2542</v>
      </c>
      <c r="B993" s="1854" t="s">
        <v>16</v>
      </c>
      <c r="C993" s="1854" t="s">
        <v>4146</v>
      </c>
      <c r="D993" s="1854" t="s">
        <v>4147</v>
      </c>
      <c r="E993" s="1854" t="s">
        <v>4148</v>
      </c>
      <c r="F993" s="1854" t="s">
        <v>3181</v>
      </c>
      <c r="G993" s="1854" t="s">
        <v>22</v>
      </c>
      <c r="H993" s="1854" t="s">
        <v>22</v>
      </c>
      <c r="I993" s="1854" t="s">
        <v>1171</v>
      </c>
    </row>
    <row customHeight="1" ht="11.25">
      <c r="A994" s="1854" t="s">
        <v>2542</v>
      </c>
      <c r="B994" s="1854" t="s">
        <v>16</v>
      </c>
      <c r="C994" s="1854" t="s">
        <v>3190</v>
      </c>
      <c r="D994" s="1854" t="s">
        <v>3191</v>
      </c>
      <c r="E994" s="1854" t="s">
        <v>3192</v>
      </c>
      <c r="F994" s="1854" t="s">
        <v>2785</v>
      </c>
      <c r="G994" s="1854" t="s">
        <v>3193</v>
      </c>
      <c r="H994" s="1854" t="s">
        <v>22</v>
      </c>
      <c r="I994" s="1854" t="s">
        <v>1171</v>
      </c>
    </row>
    <row customHeight="1" ht="11.25">
      <c r="A995" s="1854" t="s">
        <v>2542</v>
      </c>
      <c r="B995" s="1854" t="s">
        <v>16</v>
      </c>
      <c r="C995" s="1854" t="s">
        <v>3209</v>
      </c>
      <c r="D995" s="1854" t="s">
        <v>3210</v>
      </c>
      <c r="E995" s="1854" t="s">
        <v>3211</v>
      </c>
      <c r="F995" s="1854" t="s">
        <v>2785</v>
      </c>
      <c r="G995" s="1854" t="s">
        <v>22</v>
      </c>
      <c r="H995" s="1854" t="s">
        <v>22</v>
      </c>
      <c r="I995" s="1854" t="s">
        <v>1171</v>
      </c>
    </row>
    <row customHeight="1" ht="11.25">
      <c r="A996" s="1854" t="s">
        <v>2542</v>
      </c>
      <c r="B996" s="1854" t="s">
        <v>16</v>
      </c>
      <c r="C996" s="1854" t="s">
        <v>3221</v>
      </c>
      <c r="D996" s="1854" t="s">
        <v>3222</v>
      </c>
      <c r="E996" s="1854" t="s">
        <v>3223</v>
      </c>
      <c r="F996" s="1854" t="s">
        <v>3224</v>
      </c>
      <c r="G996" s="1854" t="s">
        <v>22</v>
      </c>
      <c r="H996" s="1854" t="s">
        <v>22</v>
      </c>
      <c r="I996" s="1854" t="s">
        <v>1171</v>
      </c>
    </row>
    <row customHeight="1" ht="11.25">
      <c r="A997" s="1854" t="s">
        <v>2542</v>
      </c>
      <c r="B997" s="1854" t="s">
        <v>16</v>
      </c>
      <c r="C997" s="1854" t="s">
        <v>4152</v>
      </c>
      <c r="D997" s="1854" t="s">
        <v>4153</v>
      </c>
      <c r="E997" s="1854" t="s">
        <v>4154</v>
      </c>
      <c r="F997" s="1854" t="s">
        <v>2821</v>
      </c>
      <c r="G997" s="1854" t="s">
        <v>22</v>
      </c>
      <c r="H997" s="1854" t="s">
        <v>22</v>
      </c>
      <c r="I997" s="1854" t="s">
        <v>1171</v>
      </c>
    </row>
    <row customHeight="1" ht="11.25">
      <c r="A998" s="1854" t="s">
        <v>2542</v>
      </c>
      <c r="B998" s="1854" t="s">
        <v>16</v>
      </c>
      <c r="C998" s="1854" t="s">
        <v>4327</v>
      </c>
      <c r="D998" s="1854" t="s">
        <v>4328</v>
      </c>
      <c r="E998" s="1854" t="s">
        <v>4329</v>
      </c>
      <c r="F998" s="1854" t="s">
        <v>2573</v>
      </c>
      <c r="G998" s="1854" t="s">
        <v>22</v>
      </c>
      <c r="H998" s="1854" t="s">
        <v>22</v>
      </c>
      <c r="I998" s="1854" t="s">
        <v>1171</v>
      </c>
    </row>
    <row customHeight="1" ht="11.25">
      <c r="A999" s="1854" t="s">
        <v>2542</v>
      </c>
      <c r="B999" s="1854" t="s">
        <v>16</v>
      </c>
      <c r="C999" s="1854" t="s">
        <v>4330</v>
      </c>
      <c r="D999" s="1854" t="s">
        <v>4331</v>
      </c>
      <c r="E999" s="1854" t="s">
        <v>4332</v>
      </c>
      <c r="F999" s="1854" t="s">
        <v>2573</v>
      </c>
      <c r="G999" s="1854" t="s">
        <v>22</v>
      </c>
      <c r="H999" s="1854" t="s">
        <v>22</v>
      </c>
      <c r="I999" s="1854" t="s">
        <v>1171</v>
      </c>
    </row>
    <row customHeight="1" ht="11.25">
      <c r="A1000" s="1854" t="s">
        <v>2542</v>
      </c>
      <c r="B1000" s="1854" t="s">
        <v>16</v>
      </c>
      <c r="C1000" s="1854" t="s">
        <v>3240</v>
      </c>
      <c r="D1000" s="1854" t="s">
        <v>3241</v>
      </c>
      <c r="E1000" s="1854" t="s">
        <v>3242</v>
      </c>
      <c r="F1000" s="1854" t="s">
        <v>2606</v>
      </c>
      <c r="G1000" s="1854" t="s">
        <v>22</v>
      </c>
      <c r="H1000" s="1854" t="s">
        <v>22</v>
      </c>
      <c r="I1000" s="1854" t="s">
        <v>1171</v>
      </c>
    </row>
    <row customHeight="1" ht="11.25">
      <c r="A1001" s="1854" t="s">
        <v>2542</v>
      </c>
      <c r="B1001" s="1854" t="s">
        <v>16</v>
      </c>
      <c r="C1001" s="1854" t="s">
        <v>3243</v>
      </c>
      <c r="D1001" s="1854" t="s">
        <v>3244</v>
      </c>
      <c r="E1001" s="1854" t="s">
        <v>3245</v>
      </c>
      <c r="F1001" s="1854" t="s">
        <v>2620</v>
      </c>
      <c r="G1001" s="1854" t="s">
        <v>22</v>
      </c>
      <c r="H1001" s="1854" t="s">
        <v>22</v>
      </c>
      <c r="I1001" s="1854" t="s">
        <v>1171</v>
      </c>
    </row>
    <row customHeight="1" ht="11.25">
      <c r="A1002" s="1854" t="s">
        <v>2542</v>
      </c>
      <c r="B1002" s="1854" t="s">
        <v>16</v>
      </c>
      <c r="C1002" s="1854" t="s">
        <v>3249</v>
      </c>
      <c r="D1002" s="1854" t="s">
        <v>3250</v>
      </c>
      <c r="E1002" s="1854" t="s">
        <v>3251</v>
      </c>
      <c r="F1002" s="1854" t="s">
        <v>2821</v>
      </c>
      <c r="G1002" s="1854" t="s">
        <v>22</v>
      </c>
      <c r="H1002" s="1854" t="s">
        <v>3252</v>
      </c>
      <c r="I1002" s="1854" t="s">
        <v>1171</v>
      </c>
    </row>
    <row customHeight="1" ht="11.25">
      <c r="A1003" s="1854" t="s">
        <v>2542</v>
      </c>
      <c r="B1003" s="1854" t="s">
        <v>16</v>
      </c>
      <c r="C1003" s="1854" t="s">
        <v>3257</v>
      </c>
      <c r="D1003" s="1854" t="s">
        <v>3258</v>
      </c>
      <c r="E1003" s="1854" t="s">
        <v>3259</v>
      </c>
      <c r="F1003" s="1854" t="s">
        <v>2995</v>
      </c>
      <c r="G1003" s="1854" t="s">
        <v>22</v>
      </c>
      <c r="H1003" s="1854" t="s">
        <v>22</v>
      </c>
      <c r="I1003" s="1854" t="s">
        <v>1171</v>
      </c>
    </row>
    <row customHeight="1" ht="11.25">
      <c r="A1004" s="1854" t="s">
        <v>2542</v>
      </c>
      <c r="B1004" s="1854" t="s">
        <v>16</v>
      </c>
      <c r="C1004" s="1854" t="s">
        <v>3260</v>
      </c>
      <c r="D1004" s="1854" t="s">
        <v>3261</v>
      </c>
      <c r="E1004" s="1854" t="s">
        <v>3262</v>
      </c>
      <c r="F1004" s="1854" t="s">
        <v>2641</v>
      </c>
      <c r="G1004" s="1854" t="s">
        <v>22</v>
      </c>
      <c r="H1004" s="1854" t="s">
        <v>22</v>
      </c>
      <c r="I1004" s="1854" t="s">
        <v>1171</v>
      </c>
    </row>
    <row customHeight="1" ht="11.25">
      <c r="A1005" s="1854" t="s">
        <v>2542</v>
      </c>
      <c r="B1005" s="1854" t="s">
        <v>16</v>
      </c>
      <c r="C1005" s="1854" t="s">
        <v>3263</v>
      </c>
      <c r="D1005" s="1854" t="s">
        <v>3264</v>
      </c>
      <c r="E1005" s="1854" t="s">
        <v>3265</v>
      </c>
      <c r="F1005" s="1854" t="s">
        <v>2599</v>
      </c>
      <c r="G1005" s="1854" t="s">
        <v>22</v>
      </c>
      <c r="H1005" s="1854" t="s">
        <v>22</v>
      </c>
      <c r="I1005" s="1854" t="s">
        <v>1171</v>
      </c>
    </row>
    <row customHeight="1" ht="11.25">
      <c r="A1006" s="1854" t="s">
        <v>2542</v>
      </c>
      <c r="B1006" s="1854" t="s">
        <v>16</v>
      </c>
      <c r="C1006" s="1854" t="s">
        <v>3272</v>
      </c>
      <c r="D1006" s="1854" t="s">
        <v>3273</v>
      </c>
      <c r="E1006" s="1854" t="s">
        <v>3274</v>
      </c>
      <c r="F1006" s="1854" t="s">
        <v>2973</v>
      </c>
      <c r="G1006" s="1854" t="s">
        <v>22</v>
      </c>
      <c r="H1006" s="1854" t="s">
        <v>22</v>
      </c>
      <c r="I1006" s="1854" t="s">
        <v>1171</v>
      </c>
    </row>
    <row customHeight="1" ht="11.25">
      <c r="A1007" s="1854" t="s">
        <v>2542</v>
      </c>
      <c r="B1007" s="1854" t="s">
        <v>16</v>
      </c>
      <c r="C1007" s="1854" t="s">
        <v>4333</v>
      </c>
      <c r="D1007" s="1854" t="s">
        <v>4334</v>
      </c>
      <c r="E1007" s="1854" t="s">
        <v>4335</v>
      </c>
      <c r="F1007" s="1854" t="s">
        <v>3181</v>
      </c>
      <c r="G1007" s="1854" t="s">
        <v>22</v>
      </c>
      <c r="H1007" s="1854" t="s">
        <v>22</v>
      </c>
      <c r="I1007" s="1854" t="s">
        <v>1171</v>
      </c>
    </row>
    <row customHeight="1" ht="11.25">
      <c r="A1008" s="1854" t="s">
        <v>2542</v>
      </c>
      <c r="B1008" s="1854" t="s">
        <v>16</v>
      </c>
      <c r="C1008" s="1854" t="s">
        <v>3281</v>
      </c>
      <c r="D1008" s="1854" t="s">
        <v>3282</v>
      </c>
      <c r="E1008" s="1854" t="s">
        <v>2853</v>
      </c>
      <c r="F1008" s="1854" t="s">
        <v>3283</v>
      </c>
      <c r="G1008" s="1854" t="s">
        <v>22</v>
      </c>
      <c r="H1008" s="1854" t="s">
        <v>22</v>
      </c>
      <c r="I1008" s="1854" t="s">
        <v>1171</v>
      </c>
    </row>
    <row customHeight="1" ht="11.25">
      <c r="A1009" s="1854" t="s">
        <v>2542</v>
      </c>
      <c r="B1009" s="1854" t="s">
        <v>16</v>
      </c>
      <c r="C1009" s="1854" t="s">
        <v>3287</v>
      </c>
      <c r="D1009" s="1854" t="s">
        <v>3288</v>
      </c>
      <c r="E1009" s="1854" t="s">
        <v>3289</v>
      </c>
      <c r="F1009" s="1854" t="s">
        <v>2563</v>
      </c>
      <c r="G1009" s="1854" t="s">
        <v>22</v>
      </c>
      <c r="H1009" s="1854" t="s">
        <v>22</v>
      </c>
      <c r="I1009" s="1854" t="s">
        <v>1171</v>
      </c>
    </row>
    <row customHeight="1" ht="11.25">
      <c r="A1010" s="1854" t="s">
        <v>2542</v>
      </c>
      <c r="B1010" s="1854" t="s">
        <v>16</v>
      </c>
      <c r="C1010" s="1854" t="s">
        <v>4158</v>
      </c>
      <c r="D1010" s="1854" t="s">
        <v>4159</v>
      </c>
      <c r="E1010" s="1854" t="s">
        <v>4160</v>
      </c>
      <c r="F1010" s="1854" t="s">
        <v>2606</v>
      </c>
      <c r="G1010" s="1854" t="s">
        <v>22</v>
      </c>
      <c r="H1010" s="1854" t="s">
        <v>22</v>
      </c>
      <c r="I1010" s="1854" t="s">
        <v>1171</v>
      </c>
    </row>
    <row customHeight="1" ht="11.25">
      <c r="A1011" s="1854" t="s">
        <v>2542</v>
      </c>
      <c r="B1011" s="1854" t="s">
        <v>16</v>
      </c>
      <c r="C1011" s="1854" t="s">
        <v>3293</v>
      </c>
      <c r="D1011" s="1854" t="s">
        <v>3294</v>
      </c>
      <c r="E1011" s="1854" t="s">
        <v>3295</v>
      </c>
      <c r="F1011" s="1854" t="s">
        <v>2550</v>
      </c>
      <c r="G1011" s="1854" t="s">
        <v>22</v>
      </c>
      <c r="H1011" s="1854" t="s">
        <v>22</v>
      </c>
      <c r="I1011" s="1854" t="s">
        <v>1171</v>
      </c>
    </row>
    <row customHeight="1" ht="11.25">
      <c r="A1012" s="1854" t="s">
        <v>2542</v>
      </c>
      <c r="B1012" s="1854" t="s">
        <v>16</v>
      </c>
      <c r="C1012" s="1854" t="s">
        <v>3296</v>
      </c>
      <c r="D1012" s="1854" t="s">
        <v>3297</v>
      </c>
      <c r="E1012" s="1854" t="s">
        <v>3298</v>
      </c>
      <c r="F1012" s="1854" t="s">
        <v>2805</v>
      </c>
      <c r="G1012" s="1854" t="s">
        <v>22</v>
      </c>
      <c r="H1012" s="1854" t="s">
        <v>22</v>
      </c>
      <c r="I1012" s="1854" t="s">
        <v>1171</v>
      </c>
    </row>
    <row customHeight="1" ht="11.25">
      <c r="A1013" s="1854" t="s">
        <v>2542</v>
      </c>
      <c r="B1013" s="1854" t="s">
        <v>16</v>
      </c>
      <c r="C1013" s="1854" t="s">
        <v>3299</v>
      </c>
      <c r="D1013" s="1854" t="s">
        <v>3300</v>
      </c>
      <c r="E1013" s="1854" t="s">
        <v>3301</v>
      </c>
      <c r="F1013" s="1854" t="s">
        <v>3302</v>
      </c>
      <c r="G1013" s="1854" t="s">
        <v>22</v>
      </c>
      <c r="H1013" s="1854" t="s">
        <v>22</v>
      </c>
      <c r="I1013" s="1854" t="s">
        <v>1171</v>
      </c>
    </row>
    <row customHeight="1" ht="11.25">
      <c r="A1014" s="1854" t="s">
        <v>2542</v>
      </c>
      <c r="B1014" s="1854" t="s">
        <v>16</v>
      </c>
      <c r="C1014" s="1854" t="s">
        <v>4336</v>
      </c>
      <c r="D1014" s="1854" t="s">
        <v>4337</v>
      </c>
      <c r="E1014" s="1854" t="s">
        <v>4338</v>
      </c>
      <c r="F1014" s="1854" t="s">
        <v>2550</v>
      </c>
      <c r="G1014" s="1854" t="s">
        <v>22</v>
      </c>
      <c r="H1014" s="1854" t="s">
        <v>22</v>
      </c>
      <c r="I1014" s="1854" t="s">
        <v>1171</v>
      </c>
    </row>
    <row customHeight="1" ht="11.25">
      <c r="A1015" s="1854" t="s">
        <v>2542</v>
      </c>
      <c r="B1015" s="1854" t="s">
        <v>16</v>
      </c>
      <c r="C1015" s="1854" t="s">
        <v>4161</v>
      </c>
      <c r="D1015" s="1854" t="s">
        <v>4162</v>
      </c>
      <c r="E1015" s="1854" t="s">
        <v>4163</v>
      </c>
      <c r="F1015" s="1854" t="s">
        <v>2563</v>
      </c>
      <c r="G1015" s="1854" t="s">
        <v>4164</v>
      </c>
      <c r="H1015" s="1854" t="s">
        <v>22</v>
      </c>
      <c r="I1015" s="1854" t="s">
        <v>1171</v>
      </c>
    </row>
    <row customHeight="1" ht="11.25">
      <c r="A1016" s="1854" t="s">
        <v>2542</v>
      </c>
      <c r="B1016" s="1854" t="s">
        <v>16</v>
      </c>
      <c r="C1016" s="1854" t="s">
        <v>4165</v>
      </c>
      <c r="D1016" s="1854" t="s">
        <v>4166</v>
      </c>
      <c r="E1016" s="1854" t="s">
        <v>4167</v>
      </c>
      <c r="F1016" s="1854" t="s">
        <v>2743</v>
      </c>
      <c r="G1016" s="1854" t="s">
        <v>22</v>
      </c>
      <c r="H1016" s="1854" t="s">
        <v>22</v>
      </c>
      <c r="I1016" s="1854" t="s">
        <v>1171</v>
      </c>
    </row>
    <row customHeight="1" ht="11.25">
      <c r="A1017" s="1854" t="s">
        <v>2542</v>
      </c>
      <c r="B1017" s="1854" t="s">
        <v>16</v>
      </c>
      <c r="C1017" s="1854" t="s">
        <v>4339</v>
      </c>
      <c r="D1017" s="1854" t="s">
        <v>4340</v>
      </c>
      <c r="E1017" s="1854" t="s">
        <v>4341</v>
      </c>
      <c r="F1017" s="1854" t="s">
        <v>2573</v>
      </c>
      <c r="G1017" s="1854" t="s">
        <v>22</v>
      </c>
      <c r="H1017" s="1854" t="s">
        <v>22</v>
      </c>
      <c r="I1017" s="1854" t="s">
        <v>1171</v>
      </c>
    </row>
    <row customHeight="1" ht="11.25">
      <c r="A1018" s="1854" t="s">
        <v>2542</v>
      </c>
      <c r="B1018" s="1854" t="s">
        <v>16</v>
      </c>
      <c r="C1018" s="1854" t="s">
        <v>4342</v>
      </c>
      <c r="D1018" s="1854" t="s">
        <v>4343</v>
      </c>
      <c r="E1018" s="1854" t="s">
        <v>4344</v>
      </c>
      <c r="F1018" s="1854" t="s">
        <v>2591</v>
      </c>
      <c r="G1018" s="1854" t="s">
        <v>22</v>
      </c>
      <c r="H1018" s="1854" t="s">
        <v>22</v>
      </c>
      <c r="I1018" s="1854" t="s">
        <v>1171</v>
      </c>
    </row>
    <row customHeight="1" ht="11.25">
      <c r="A1019" s="1854" t="s">
        <v>2542</v>
      </c>
      <c r="B1019" s="1854" t="s">
        <v>16</v>
      </c>
      <c r="C1019" s="1854" t="s">
        <v>4168</v>
      </c>
      <c r="D1019" s="1854" t="s">
        <v>4169</v>
      </c>
      <c r="E1019" s="1854" t="s">
        <v>4170</v>
      </c>
      <c r="F1019" s="1854" t="s">
        <v>3364</v>
      </c>
      <c r="G1019" s="1854" t="s">
        <v>22</v>
      </c>
      <c r="H1019" s="1854" t="s">
        <v>22</v>
      </c>
      <c r="I1019" s="1854" t="s">
        <v>1171</v>
      </c>
    </row>
    <row customHeight="1" ht="11.25">
      <c r="A1020" s="1854" t="s">
        <v>2542</v>
      </c>
      <c r="B1020" s="1854" t="s">
        <v>16</v>
      </c>
      <c r="C1020" s="1854" t="s">
        <v>4171</v>
      </c>
      <c r="D1020" s="1854" t="s">
        <v>4172</v>
      </c>
      <c r="E1020" s="1854" t="s">
        <v>4173</v>
      </c>
      <c r="F1020" s="1854" t="s">
        <v>2933</v>
      </c>
      <c r="G1020" s="1854" t="s">
        <v>22</v>
      </c>
      <c r="H1020" s="1854" t="s">
        <v>22</v>
      </c>
      <c r="I1020" s="1854" t="s">
        <v>1171</v>
      </c>
    </row>
    <row customHeight="1" ht="11.25">
      <c r="A1021" s="1854" t="s">
        <v>2542</v>
      </c>
      <c r="B1021" s="1854" t="s">
        <v>16</v>
      </c>
      <c r="C1021" s="1854" t="s">
        <v>4345</v>
      </c>
      <c r="D1021" s="1854" t="s">
        <v>4346</v>
      </c>
      <c r="E1021" s="1854" t="s">
        <v>4347</v>
      </c>
      <c r="F1021" s="1854" t="s">
        <v>2669</v>
      </c>
      <c r="G1021" s="1854" t="s">
        <v>4348</v>
      </c>
      <c r="H1021" s="1854" t="s">
        <v>22</v>
      </c>
      <c r="I1021" s="1854" t="s">
        <v>1171</v>
      </c>
    </row>
    <row customHeight="1" ht="11.25">
      <c r="A1022" s="1854" t="s">
        <v>2542</v>
      </c>
      <c r="B1022" s="1854" t="s">
        <v>16</v>
      </c>
      <c r="C1022" s="1854" t="s">
        <v>4177</v>
      </c>
      <c r="D1022" s="1854" t="s">
        <v>4178</v>
      </c>
      <c r="E1022" s="1854" t="s">
        <v>4179</v>
      </c>
      <c r="F1022" s="1854" t="s">
        <v>3181</v>
      </c>
      <c r="G1022" s="1854" t="s">
        <v>22</v>
      </c>
      <c r="H1022" s="1854" t="s">
        <v>22</v>
      </c>
      <c r="I1022" s="1854" t="s">
        <v>1171</v>
      </c>
    </row>
    <row customHeight="1" ht="11.25">
      <c r="A1023" s="1854" t="s">
        <v>2542</v>
      </c>
      <c r="B1023" s="1854" t="s">
        <v>16</v>
      </c>
      <c r="C1023" s="1854" t="s">
        <v>4180</v>
      </c>
      <c r="D1023" s="1854" t="s">
        <v>4181</v>
      </c>
      <c r="E1023" s="1854" t="s">
        <v>4182</v>
      </c>
      <c r="F1023" s="1854" t="s">
        <v>2921</v>
      </c>
      <c r="G1023" s="1854" t="s">
        <v>22</v>
      </c>
      <c r="H1023" s="1854" t="s">
        <v>22</v>
      </c>
      <c r="I1023" s="1854" t="s">
        <v>1171</v>
      </c>
    </row>
    <row customHeight="1" ht="11.25">
      <c r="A1024" s="1854" t="s">
        <v>2542</v>
      </c>
      <c r="B1024" s="1854" t="s">
        <v>16</v>
      </c>
      <c r="C1024" s="1854" t="s">
        <v>4183</v>
      </c>
      <c r="D1024" s="1854" t="s">
        <v>4184</v>
      </c>
      <c r="E1024" s="1854" t="s">
        <v>4185</v>
      </c>
      <c r="F1024" s="1854" t="s">
        <v>2785</v>
      </c>
      <c r="G1024" s="1854" t="s">
        <v>22</v>
      </c>
      <c r="H1024" s="1854" t="s">
        <v>22</v>
      </c>
      <c r="I1024" s="1854" t="s">
        <v>1171</v>
      </c>
    </row>
    <row customHeight="1" ht="11.25">
      <c r="A1025" s="1854" t="s">
        <v>2542</v>
      </c>
      <c r="B1025" s="1854" t="s">
        <v>16</v>
      </c>
      <c r="C1025" s="1854" t="s">
        <v>4349</v>
      </c>
      <c r="D1025" s="1854" t="s">
        <v>4350</v>
      </c>
      <c r="E1025" s="1854" t="s">
        <v>4351</v>
      </c>
      <c r="F1025" s="1854" t="s">
        <v>4352</v>
      </c>
      <c r="G1025" s="1854" t="s">
        <v>4353</v>
      </c>
      <c r="H1025" s="1854" t="s">
        <v>22</v>
      </c>
      <c r="I1025" s="1854" t="s">
        <v>1171</v>
      </c>
    </row>
    <row customHeight="1" ht="11.25">
      <c r="A1026" s="1854" t="s">
        <v>2542</v>
      </c>
      <c r="B1026" s="1854" t="s">
        <v>16</v>
      </c>
      <c r="C1026" s="1854" t="s">
        <v>4188</v>
      </c>
      <c r="D1026" s="1854" t="s">
        <v>4189</v>
      </c>
      <c r="E1026" s="1854" t="s">
        <v>4190</v>
      </c>
      <c r="F1026" s="1854" t="s">
        <v>2591</v>
      </c>
      <c r="G1026" s="1854" t="s">
        <v>22</v>
      </c>
      <c r="H1026" s="1854" t="s">
        <v>22</v>
      </c>
      <c r="I1026" s="1854" t="s">
        <v>1171</v>
      </c>
    </row>
    <row customHeight="1" ht="11.25">
      <c r="A1027" s="1854" t="s">
        <v>2542</v>
      </c>
      <c r="B1027" s="1854" t="s">
        <v>16</v>
      </c>
      <c r="C1027" s="1854" t="s">
        <v>3390</v>
      </c>
      <c r="D1027" s="1854" t="s">
        <v>3391</v>
      </c>
      <c r="E1027" s="1854" t="s">
        <v>3392</v>
      </c>
      <c r="F1027" s="1854" t="s">
        <v>2813</v>
      </c>
      <c r="G1027" s="1854" t="s">
        <v>22</v>
      </c>
      <c r="H1027" s="1854" t="s">
        <v>22</v>
      </c>
      <c r="I1027" s="1854" t="s">
        <v>1171</v>
      </c>
    </row>
    <row customHeight="1" ht="11.25">
      <c r="A1028" s="1854" t="s">
        <v>2542</v>
      </c>
      <c r="B1028" s="1854" t="s">
        <v>16</v>
      </c>
      <c r="C1028" s="1854" t="s">
        <v>4191</v>
      </c>
      <c r="D1028" s="1854" t="s">
        <v>4192</v>
      </c>
      <c r="E1028" s="1854" t="s">
        <v>4193</v>
      </c>
      <c r="F1028" s="1854" t="s">
        <v>4194</v>
      </c>
      <c r="G1028" s="1854" t="s">
        <v>22</v>
      </c>
      <c r="H1028" s="1854" t="s">
        <v>22</v>
      </c>
      <c r="I1028" s="1854" t="s">
        <v>1171</v>
      </c>
    </row>
    <row customHeight="1" ht="11.25">
      <c r="A1029" s="1854" t="s">
        <v>2542</v>
      </c>
      <c r="B1029" s="1854" t="s">
        <v>16</v>
      </c>
      <c r="C1029" s="1854" t="s">
        <v>4354</v>
      </c>
      <c r="D1029" s="1854" t="s">
        <v>4355</v>
      </c>
      <c r="E1029" s="1854" t="s">
        <v>4356</v>
      </c>
      <c r="F1029" s="1854" t="s">
        <v>2550</v>
      </c>
      <c r="G1029" s="1854" t="s">
        <v>22</v>
      </c>
      <c r="H1029" s="1854" t="s">
        <v>22</v>
      </c>
      <c r="I1029" s="1854" t="s">
        <v>1171</v>
      </c>
    </row>
    <row customHeight="1" ht="11.25">
      <c r="A1030" s="1854" t="s">
        <v>2542</v>
      </c>
      <c r="B1030" s="1854" t="s">
        <v>16</v>
      </c>
      <c r="C1030" s="1854" t="s">
        <v>3424</v>
      </c>
      <c r="D1030" s="1854" t="s">
        <v>3425</v>
      </c>
      <c r="E1030" s="1854" t="s">
        <v>3426</v>
      </c>
      <c r="F1030" s="1854" t="s">
        <v>2620</v>
      </c>
      <c r="G1030" s="1854" t="s">
        <v>22</v>
      </c>
      <c r="H1030" s="1854" t="s">
        <v>22</v>
      </c>
      <c r="I1030" s="1854" t="s">
        <v>1171</v>
      </c>
    </row>
    <row customHeight="1" ht="11.25">
      <c r="A1031" s="1854" t="s">
        <v>2542</v>
      </c>
      <c r="B1031" s="1854" t="s">
        <v>16</v>
      </c>
      <c r="C1031" s="1854" t="s">
        <v>4195</v>
      </c>
      <c r="D1031" s="1854" t="s">
        <v>4196</v>
      </c>
      <c r="E1031" s="1854" t="s">
        <v>4197</v>
      </c>
      <c r="F1031" s="1854" t="s">
        <v>2599</v>
      </c>
      <c r="G1031" s="1854" t="s">
        <v>22</v>
      </c>
      <c r="H1031" s="1854" t="s">
        <v>22</v>
      </c>
      <c r="I1031" s="1854" t="s">
        <v>1171</v>
      </c>
    </row>
    <row customHeight="1" ht="11.25">
      <c r="A1032" s="1854" t="s">
        <v>2542</v>
      </c>
      <c r="B1032" s="1854" t="s">
        <v>16</v>
      </c>
      <c r="C1032" s="1854" t="s">
        <v>3427</v>
      </c>
      <c r="D1032" s="1854" t="s">
        <v>3428</v>
      </c>
      <c r="E1032" s="1854" t="s">
        <v>3429</v>
      </c>
      <c r="F1032" s="1854" t="s">
        <v>2743</v>
      </c>
      <c r="G1032" s="1854" t="s">
        <v>22</v>
      </c>
      <c r="H1032" s="1854" t="s">
        <v>22</v>
      </c>
      <c r="I1032" s="1854" t="s">
        <v>1171</v>
      </c>
    </row>
    <row customHeight="1" ht="11.25">
      <c r="A1033" s="1854" t="s">
        <v>2542</v>
      </c>
      <c r="B1033" s="1854" t="s">
        <v>16</v>
      </c>
      <c r="C1033" s="1854" t="s">
        <v>4198</v>
      </c>
      <c r="D1033" s="1854" t="s">
        <v>4199</v>
      </c>
      <c r="E1033" s="1854" t="s">
        <v>4200</v>
      </c>
      <c r="F1033" s="1854" t="s">
        <v>3181</v>
      </c>
      <c r="G1033" s="1854" t="s">
        <v>22</v>
      </c>
      <c r="H1033" s="1854" t="s">
        <v>22</v>
      </c>
      <c r="I1033" s="1854" t="s">
        <v>1171</v>
      </c>
    </row>
    <row customHeight="1" ht="11.25">
      <c r="A1034" s="1854" t="s">
        <v>2542</v>
      </c>
      <c r="B1034" s="1854" t="s">
        <v>16</v>
      </c>
      <c r="C1034" s="1854" t="s">
        <v>3437</v>
      </c>
      <c r="D1034" s="1854" t="s">
        <v>3438</v>
      </c>
      <c r="E1034" s="1854" t="s">
        <v>3439</v>
      </c>
      <c r="F1034" s="1854" t="s">
        <v>2558</v>
      </c>
      <c r="G1034" s="1854" t="s">
        <v>22</v>
      </c>
      <c r="H1034" s="1854" t="s">
        <v>22</v>
      </c>
      <c r="I1034" s="1854" t="s">
        <v>1171</v>
      </c>
    </row>
    <row customHeight="1" ht="11.25">
      <c r="A1035" s="1854" t="s">
        <v>2542</v>
      </c>
      <c r="B1035" s="1854" t="s">
        <v>16</v>
      </c>
      <c r="C1035" s="1854" t="s">
        <v>3440</v>
      </c>
      <c r="D1035" s="1854" t="s">
        <v>3441</v>
      </c>
      <c r="E1035" s="1854" t="s">
        <v>3442</v>
      </c>
      <c r="F1035" s="1854" t="s">
        <v>2767</v>
      </c>
      <c r="G1035" s="1854" t="s">
        <v>22</v>
      </c>
      <c r="H1035" s="1854" t="s">
        <v>22</v>
      </c>
      <c r="I1035" s="1854" t="s">
        <v>1171</v>
      </c>
    </row>
    <row customHeight="1" ht="11.25">
      <c r="A1036" s="1854" t="s">
        <v>2542</v>
      </c>
      <c r="B1036" s="1854" t="s">
        <v>16</v>
      </c>
      <c r="C1036" s="1854" t="s">
        <v>4201</v>
      </c>
      <c r="D1036" s="1854" t="s">
        <v>4202</v>
      </c>
      <c r="E1036" s="1854" t="s">
        <v>4203</v>
      </c>
      <c r="F1036" s="1854" t="s">
        <v>2606</v>
      </c>
      <c r="G1036" s="1854" t="s">
        <v>22</v>
      </c>
      <c r="H1036" s="1854" t="s">
        <v>22</v>
      </c>
      <c r="I1036" s="1854" t="s">
        <v>1171</v>
      </c>
    </row>
    <row customHeight="1" ht="11.25">
      <c r="A1037" s="1854" t="s">
        <v>2542</v>
      </c>
      <c r="B1037" s="1854" t="s">
        <v>16</v>
      </c>
      <c r="C1037" s="1854" t="s">
        <v>4204</v>
      </c>
      <c r="D1037" s="1854" t="s">
        <v>4205</v>
      </c>
      <c r="E1037" s="1854" t="s">
        <v>4206</v>
      </c>
      <c r="F1037" s="1854" t="s">
        <v>2606</v>
      </c>
      <c r="G1037" s="1854" t="s">
        <v>22</v>
      </c>
      <c r="H1037" s="1854" t="s">
        <v>22</v>
      </c>
      <c r="I1037" s="1854" t="s">
        <v>1171</v>
      </c>
    </row>
    <row customHeight="1" ht="11.25">
      <c r="A1038" s="1854" t="s">
        <v>2542</v>
      </c>
      <c r="B1038" s="1854" t="s">
        <v>16</v>
      </c>
      <c r="C1038" s="1854" t="s">
        <v>4207</v>
      </c>
      <c r="D1038" s="1854" t="s">
        <v>4208</v>
      </c>
      <c r="E1038" s="1854" t="s">
        <v>4209</v>
      </c>
      <c r="F1038" s="1854" t="s">
        <v>2620</v>
      </c>
      <c r="G1038" s="1854" t="s">
        <v>22</v>
      </c>
      <c r="H1038" s="1854" t="s">
        <v>22</v>
      </c>
      <c r="I1038" s="1854" t="s">
        <v>1171</v>
      </c>
    </row>
    <row customHeight="1" ht="11.25">
      <c r="A1039" s="1854" t="s">
        <v>2542</v>
      </c>
      <c r="B1039" s="1854" t="s">
        <v>16</v>
      </c>
      <c r="C1039" s="1854" t="s">
        <v>3459</v>
      </c>
      <c r="D1039" s="1854" t="s">
        <v>3460</v>
      </c>
      <c r="E1039" s="1854" t="s">
        <v>3461</v>
      </c>
      <c r="F1039" s="1854" t="s">
        <v>2679</v>
      </c>
      <c r="G1039" s="1854" t="s">
        <v>3462</v>
      </c>
      <c r="H1039" s="1854" t="s">
        <v>22</v>
      </c>
      <c r="I1039" s="1854" t="s">
        <v>1171</v>
      </c>
    </row>
    <row customHeight="1" ht="11.25">
      <c r="A1040" s="1854" t="s">
        <v>2542</v>
      </c>
      <c r="B1040" s="1854" t="s">
        <v>16</v>
      </c>
      <c r="C1040" s="1854" t="s">
        <v>4210</v>
      </c>
      <c r="D1040" s="1854" t="s">
        <v>4211</v>
      </c>
      <c r="E1040" s="1854" t="s">
        <v>4212</v>
      </c>
      <c r="F1040" s="1854" t="s">
        <v>3052</v>
      </c>
      <c r="G1040" s="1854" t="s">
        <v>22</v>
      </c>
      <c r="H1040" s="1854" t="s">
        <v>22</v>
      </c>
      <c r="I1040" s="1854" t="s">
        <v>1171</v>
      </c>
    </row>
    <row customHeight="1" ht="11.25">
      <c r="A1041" s="1854" t="s">
        <v>2542</v>
      </c>
      <c r="B1041" s="1854" t="s">
        <v>16</v>
      </c>
      <c r="C1041" s="1854" t="s">
        <v>3463</v>
      </c>
      <c r="D1041" s="1854" t="s">
        <v>3464</v>
      </c>
      <c r="E1041" s="1854" t="s">
        <v>3465</v>
      </c>
      <c r="F1041" s="1854" t="s">
        <v>2584</v>
      </c>
      <c r="G1041" s="1854" t="s">
        <v>22</v>
      </c>
      <c r="H1041" s="1854" t="s">
        <v>22</v>
      </c>
      <c r="I1041" s="1854" t="s">
        <v>1171</v>
      </c>
    </row>
    <row customHeight="1" ht="11.25">
      <c r="A1042" s="1854" t="s">
        <v>2542</v>
      </c>
      <c r="B1042" s="1854" t="s">
        <v>16</v>
      </c>
      <c r="C1042" s="1854" t="s">
        <v>3483</v>
      </c>
      <c r="D1042" s="1854" t="s">
        <v>3484</v>
      </c>
      <c r="E1042" s="1854" t="s">
        <v>3485</v>
      </c>
      <c r="F1042" s="1854" t="s">
        <v>2679</v>
      </c>
      <c r="G1042" s="1854" t="s">
        <v>22</v>
      </c>
      <c r="H1042" s="1854" t="s">
        <v>22</v>
      </c>
      <c r="I1042" s="1854" t="s">
        <v>1171</v>
      </c>
    </row>
    <row customHeight="1" ht="11.25">
      <c r="A1043" s="1854" t="s">
        <v>2542</v>
      </c>
      <c r="B1043" s="1854" t="s">
        <v>16</v>
      </c>
      <c r="C1043" s="1854" t="s">
        <v>4213</v>
      </c>
      <c r="D1043" s="1854" t="s">
        <v>3484</v>
      </c>
      <c r="E1043" s="1854" t="s">
        <v>4214</v>
      </c>
      <c r="F1043" s="1854" t="s">
        <v>2550</v>
      </c>
      <c r="G1043" s="1854" t="s">
        <v>22</v>
      </c>
      <c r="H1043" s="1854" t="s">
        <v>22</v>
      </c>
      <c r="I1043" s="1854" t="s">
        <v>1171</v>
      </c>
    </row>
    <row customHeight="1" ht="11.25">
      <c r="A1044" s="1854" t="s">
        <v>2542</v>
      </c>
      <c r="B1044" s="1854" t="s">
        <v>16</v>
      </c>
      <c r="C1044" s="1854" t="s">
        <v>3486</v>
      </c>
      <c r="D1044" s="1854" t="s">
        <v>3487</v>
      </c>
      <c r="E1044" s="1854" t="s">
        <v>3488</v>
      </c>
      <c r="F1044" s="1854" t="s">
        <v>2828</v>
      </c>
      <c r="G1044" s="1854" t="s">
        <v>22</v>
      </c>
      <c r="H1044" s="1854" t="s">
        <v>22</v>
      </c>
      <c r="I1044" s="1854" t="s">
        <v>1171</v>
      </c>
    </row>
    <row customHeight="1" ht="11.25">
      <c r="A1045" s="1854" t="s">
        <v>2542</v>
      </c>
      <c r="B1045" s="1854" t="s">
        <v>16</v>
      </c>
      <c r="C1045" s="1854" t="s">
        <v>4215</v>
      </c>
      <c r="D1045" s="1854" t="s">
        <v>4216</v>
      </c>
      <c r="E1045" s="1854" t="s">
        <v>4217</v>
      </c>
      <c r="F1045" s="1854" t="s">
        <v>2999</v>
      </c>
      <c r="G1045" s="1854" t="s">
        <v>22</v>
      </c>
      <c r="H1045" s="1854" t="s">
        <v>22</v>
      </c>
      <c r="I1045" s="1854" t="s">
        <v>1171</v>
      </c>
    </row>
    <row customHeight="1" ht="11.25">
      <c r="A1046" s="1854" t="s">
        <v>2542</v>
      </c>
      <c r="B1046" s="1854" t="s">
        <v>16</v>
      </c>
      <c r="C1046" s="1854" t="s">
        <v>4218</v>
      </c>
      <c r="D1046" s="1854" t="s">
        <v>4219</v>
      </c>
      <c r="E1046" s="1854" t="s">
        <v>4220</v>
      </c>
      <c r="F1046" s="1854" t="s">
        <v>2973</v>
      </c>
      <c r="G1046" s="1854" t="s">
        <v>22</v>
      </c>
      <c r="H1046" s="1854" t="s">
        <v>22</v>
      </c>
      <c r="I1046" s="1854" t="s">
        <v>1171</v>
      </c>
    </row>
    <row customHeight="1" ht="11.25">
      <c r="A1047" s="1854" t="s">
        <v>2542</v>
      </c>
      <c r="B1047" s="1854" t="s">
        <v>16</v>
      </c>
      <c r="C1047" s="1854" t="s">
        <v>3502</v>
      </c>
      <c r="D1047" s="1854" t="s">
        <v>3503</v>
      </c>
      <c r="E1047" s="1854" t="s">
        <v>3504</v>
      </c>
      <c r="F1047" s="1854" t="s">
        <v>3102</v>
      </c>
      <c r="G1047" s="1854" t="s">
        <v>3505</v>
      </c>
      <c r="H1047" s="1854" t="s">
        <v>22</v>
      </c>
      <c r="I1047" s="1854" t="s">
        <v>1171</v>
      </c>
    </row>
    <row customHeight="1" ht="11.25">
      <c r="A1048" s="1854" t="s">
        <v>2542</v>
      </c>
      <c r="B1048" s="1854" t="s">
        <v>16</v>
      </c>
      <c r="C1048" s="1854" t="s">
        <v>4357</v>
      </c>
      <c r="D1048" s="1854" t="s">
        <v>4358</v>
      </c>
      <c r="E1048" s="1854" t="s">
        <v>4359</v>
      </c>
      <c r="F1048" s="1854" t="s">
        <v>2844</v>
      </c>
      <c r="G1048" s="1854" t="s">
        <v>22</v>
      </c>
      <c r="H1048" s="1854" t="s">
        <v>22</v>
      </c>
      <c r="I1048" s="1854" t="s">
        <v>1171</v>
      </c>
    </row>
    <row customHeight="1" ht="11.25">
      <c r="A1049" s="1854" t="s">
        <v>2542</v>
      </c>
      <c r="B1049" s="1854" t="s">
        <v>16</v>
      </c>
      <c r="C1049" s="1854" t="s">
        <v>4224</v>
      </c>
      <c r="D1049" s="1854" t="s">
        <v>4225</v>
      </c>
      <c r="E1049" s="1854" t="s">
        <v>4226</v>
      </c>
      <c r="F1049" s="1854" t="s">
        <v>3256</v>
      </c>
      <c r="G1049" s="1854" t="s">
        <v>22</v>
      </c>
      <c r="H1049" s="1854" t="s">
        <v>22</v>
      </c>
      <c r="I1049" s="1854" t="s">
        <v>1171</v>
      </c>
    </row>
    <row customHeight="1" ht="11.25">
      <c r="A1050" s="1854" t="s">
        <v>2542</v>
      </c>
      <c r="B1050" s="1854" t="s">
        <v>16</v>
      </c>
      <c r="C1050" s="1854" t="s">
        <v>3525</v>
      </c>
      <c r="D1050" s="1854" t="s">
        <v>3526</v>
      </c>
      <c r="E1050" s="1854" t="s">
        <v>3527</v>
      </c>
      <c r="F1050" s="1854" t="s">
        <v>50</v>
      </c>
      <c r="G1050" s="1854" t="s">
        <v>22</v>
      </c>
      <c r="H1050" s="1854" t="s">
        <v>22</v>
      </c>
      <c r="I1050" s="1854" t="s">
        <v>1171</v>
      </c>
    </row>
    <row customHeight="1" ht="11.25">
      <c r="A1051" s="1854" t="s">
        <v>2542</v>
      </c>
      <c r="B1051" s="1854" t="s">
        <v>16</v>
      </c>
      <c r="C1051" s="1854" t="s">
        <v>4360</v>
      </c>
      <c r="D1051" s="1854" t="s">
        <v>4361</v>
      </c>
      <c r="E1051" s="1854" t="s">
        <v>4362</v>
      </c>
      <c r="F1051" s="1854" t="s">
        <v>4363</v>
      </c>
      <c r="G1051" s="1854" t="s">
        <v>22</v>
      </c>
      <c r="H1051" s="1854" t="s">
        <v>22</v>
      </c>
      <c r="I1051" s="1854" t="s">
        <v>1171</v>
      </c>
    </row>
    <row customHeight="1" ht="11.25">
      <c r="A1052" s="1854" t="s">
        <v>2542</v>
      </c>
      <c r="B1052" s="1854" t="s">
        <v>16</v>
      </c>
      <c r="C1052" s="1854" t="s">
        <v>4364</v>
      </c>
      <c r="D1052" s="1854" t="s">
        <v>4365</v>
      </c>
      <c r="E1052" s="1854" t="s">
        <v>4366</v>
      </c>
      <c r="F1052" s="1854" t="s">
        <v>2984</v>
      </c>
      <c r="G1052" s="1854" t="s">
        <v>22</v>
      </c>
      <c r="H1052" s="1854" t="s">
        <v>22</v>
      </c>
      <c r="I1052" s="1854" t="s">
        <v>1171</v>
      </c>
    </row>
    <row customHeight="1" ht="11.25">
      <c r="A1053" s="1854" t="s">
        <v>2542</v>
      </c>
      <c r="B1053" s="1854" t="s">
        <v>16</v>
      </c>
      <c r="C1053" s="1854" t="s">
        <v>3597</v>
      </c>
      <c r="D1053" s="1854" t="s">
        <v>3598</v>
      </c>
      <c r="E1053" s="1854" t="s">
        <v>3599</v>
      </c>
      <c r="F1053" s="1854" t="s">
        <v>3600</v>
      </c>
      <c r="G1053" s="1854" t="s">
        <v>22</v>
      </c>
      <c r="H1053" s="1854" t="s">
        <v>22</v>
      </c>
      <c r="I1053" s="1854" t="s">
        <v>1171</v>
      </c>
    </row>
    <row customHeight="1" ht="11.25">
      <c r="A1054" s="1854" t="s">
        <v>2542</v>
      </c>
      <c r="B1054" s="1854" t="s">
        <v>16</v>
      </c>
      <c r="C1054" s="1854" t="s">
        <v>4237</v>
      </c>
      <c r="D1054" s="1854" t="s">
        <v>4238</v>
      </c>
      <c r="E1054" s="1854" t="s">
        <v>4239</v>
      </c>
      <c r="F1054" s="1854" t="s">
        <v>2563</v>
      </c>
      <c r="G1054" s="1854" t="s">
        <v>22</v>
      </c>
      <c r="H1054" s="1854" t="s">
        <v>22</v>
      </c>
      <c r="I1054" s="1854" t="s">
        <v>1171</v>
      </c>
    </row>
    <row customHeight="1" ht="11.25">
      <c r="A1055" s="1854" t="s">
        <v>2542</v>
      </c>
      <c r="B1055" s="1854" t="s">
        <v>16</v>
      </c>
      <c r="C1055" s="1854" t="s">
        <v>4240</v>
      </c>
      <c r="D1055" s="1854" t="s">
        <v>4241</v>
      </c>
      <c r="E1055" s="1854" t="s">
        <v>4242</v>
      </c>
      <c r="F1055" s="1854" t="s">
        <v>3592</v>
      </c>
      <c r="G1055" s="1854" t="s">
        <v>22</v>
      </c>
      <c r="H1055" s="1854" t="s">
        <v>22</v>
      </c>
      <c r="I1055" s="1854" t="s">
        <v>1171</v>
      </c>
    </row>
    <row customHeight="1" ht="11.25">
      <c r="A1056" s="1854" t="s">
        <v>2542</v>
      </c>
      <c r="B1056" s="1854" t="s">
        <v>16</v>
      </c>
      <c r="C1056" s="1854" t="s">
        <v>4243</v>
      </c>
      <c r="D1056" s="1854" t="s">
        <v>4244</v>
      </c>
      <c r="E1056" s="1854" t="s">
        <v>4245</v>
      </c>
      <c r="F1056" s="1854" t="s">
        <v>2606</v>
      </c>
      <c r="G1056" s="1854" t="s">
        <v>4246</v>
      </c>
      <c r="H1056" s="1854" t="s">
        <v>22</v>
      </c>
      <c r="I1056" s="1854" t="s">
        <v>1171</v>
      </c>
    </row>
    <row customHeight="1" ht="11.25">
      <c r="A1057" s="1854" t="s">
        <v>2542</v>
      </c>
      <c r="B1057" s="1854" t="s">
        <v>16</v>
      </c>
      <c r="C1057" s="1854" t="s">
        <v>4250</v>
      </c>
      <c r="D1057" s="1854" t="s">
        <v>4251</v>
      </c>
      <c r="E1057" s="1854" t="s">
        <v>4252</v>
      </c>
      <c r="F1057" s="1854" t="s">
        <v>3102</v>
      </c>
      <c r="G1057" s="1854" t="s">
        <v>4253</v>
      </c>
      <c r="H1057" s="1854" t="s">
        <v>22</v>
      </c>
      <c r="I1057" s="1854" t="s">
        <v>1171</v>
      </c>
    </row>
    <row customHeight="1" ht="11.25">
      <c r="A1058" s="1854" t="s">
        <v>2542</v>
      </c>
      <c r="B1058" s="1854" t="s">
        <v>16</v>
      </c>
      <c r="C1058" s="1854" t="s">
        <v>3618</v>
      </c>
      <c r="D1058" s="1854" t="s">
        <v>3619</v>
      </c>
      <c r="E1058" s="1854" t="s">
        <v>3620</v>
      </c>
      <c r="F1058" s="1854" t="s">
        <v>2599</v>
      </c>
      <c r="G1058" s="1854" t="s">
        <v>22</v>
      </c>
      <c r="H1058" s="1854" t="s">
        <v>22</v>
      </c>
      <c r="I1058" s="1854" t="s">
        <v>1171</v>
      </c>
    </row>
    <row customHeight="1" ht="11.25">
      <c r="A1059" s="1854" t="s">
        <v>2542</v>
      </c>
      <c r="B1059" s="1854" t="s">
        <v>16</v>
      </c>
      <c r="C1059" s="1854" t="s">
        <v>3621</v>
      </c>
      <c r="D1059" s="1854" t="s">
        <v>3622</v>
      </c>
      <c r="E1059" s="1854" t="s">
        <v>3623</v>
      </c>
      <c r="F1059" s="1854" t="s">
        <v>2794</v>
      </c>
      <c r="G1059" s="1854" t="s">
        <v>22</v>
      </c>
      <c r="H1059" s="1854" t="s">
        <v>22</v>
      </c>
      <c r="I1059" s="1854" t="s">
        <v>1171</v>
      </c>
    </row>
    <row customHeight="1" ht="11.25">
      <c r="A1060" s="1854" t="s">
        <v>2542</v>
      </c>
      <c r="B1060" s="1854" t="s">
        <v>16</v>
      </c>
      <c r="C1060" s="1854" t="s">
        <v>4367</v>
      </c>
      <c r="D1060" s="1854" t="s">
        <v>4368</v>
      </c>
      <c r="E1060" s="1854" t="s">
        <v>4369</v>
      </c>
      <c r="F1060" s="1854" t="s">
        <v>2606</v>
      </c>
      <c r="G1060" s="1854" t="s">
        <v>22</v>
      </c>
      <c r="H1060" s="1854" t="s">
        <v>22</v>
      </c>
      <c r="I1060" s="1854" t="s">
        <v>1171</v>
      </c>
    </row>
    <row customHeight="1" ht="11.25">
      <c r="A1061" s="1854" t="s">
        <v>2542</v>
      </c>
      <c r="B1061" s="1854" t="s">
        <v>16</v>
      </c>
      <c r="C1061" s="1854" t="s">
        <v>4370</v>
      </c>
      <c r="D1061" s="1854" t="s">
        <v>4371</v>
      </c>
      <c r="E1061" s="1854" t="s">
        <v>4372</v>
      </c>
      <c r="F1061" s="1854" t="s">
        <v>50</v>
      </c>
      <c r="G1061" s="1854" t="s">
        <v>22</v>
      </c>
      <c r="H1061" s="1854" t="s">
        <v>22</v>
      </c>
      <c r="I1061" s="1854" t="s">
        <v>1171</v>
      </c>
    </row>
    <row customHeight="1" ht="11.25">
      <c r="A1062" s="1854" t="s">
        <v>2542</v>
      </c>
      <c r="B1062" s="1854" t="s">
        <v>16</v>
      </c>
      <c r="C1062" s="1854" t="s">
        <v>4373</v>
      </c>
      <c r="D1062" s="1854" t="s">
        <v>4374</v>
      </c>
      <c r="E1062" s="1854" t="s">
        <v>4375</v>
      </c>
      <c r="F1062" s="1854" t="s">
        <v>2669</v>
      </c>
      <c r="G1062" s="1854" t="s">
        <v>22</v>
      </c>
      <c r="H1062" s="1854" t="s">
        <v>22</v>
      </c>
      <c r="I1062" s="1854" t="s">
        <v>1171</v>
      </c>
    </row>
    <row customHeight="1" ht="11.25">
      <c r="A1063" s="1854" t="s">
        <v>2542</v>
      </c>
      <c r="B1063" s="1854" t="s">
        <v>16</v>
      </c>
      <c r="C1063" s="1854" t="s">
        <v>3644</v>
      </c>
      <c r="D1063" s="1854" t="s">
        <v>3645</v>
      </c>
      <c r="E1063" s="1854" t="s">
        <v>3646</v>
      </c>
      <c r="F1063" s="1854" t="s">
        <v>2973</v>
      </c>
      <c r="G1063" s="1854" t="s">
        <v>3647</v>
      </c>
      <c r="H1063" s="1854" t="s">
        <v>22</v>
      </c>
      <c r="I1063" s="1854" t="s">
        <v>1171</v>
      </c>
    </row>
    <row customHeight="1" ht="11.25">
      <c r="A1064" s="1854" t="s">
        <v>2542</v>
      </c>
      <c r="B1064" s="1854" t="s">
        <v>16</v>
      </c>
      <c r="C1064" s="1854" t="s">
        <v>4254</v>
      </c>
      <c r="D1064" s="1854" t="s">
        <v>4255</v>
      </c>
      <c r="E1064" s="1854" t="s">
        <v>4256</v>
      </c>
      <c r="F1064" s="1854" t="s">
        <v>2991</v>
      </c>
      <c r="G1064" s="1854" t="s">
        <v>22</v>
      </c>
      <c r="H1064" s="1854" t="s">
        <v>22</v>
      </c>
      <c r="I1064" s="1854" t="s">
        <v>1171</v>
      </c>
    </row>
    <row customHeight="1" ht="11.25">
      <c r="A1065" s="1854" t="s">
        <v>2542</v>
      </c>
      <c r="B1065" s="1854" t="s">
        <v>16</v>
      </c>
      <c r="C1065" s="1854" t="s">
        <v>3660</v>
      </c>
      <c r="D1065" s="1854" t="s">
        <v>3661</v>
      </c>
      <c r="E1065" s="1854" t="s">
        <v>3662</v>
      </c>
      <c r="F1065" s="1854" t="s">
        <v>2743</v>
      </c>
      <c r="G1065" s="1854" t="s">
        <v>22</v>
      </c>
      <c r="H1065" s="1854" t="s">
        <v>22</v>
      </c>
      <c r="I1065" s="1854" t="s">
        <v>1171</v>
      </c>
    </row>
    <row customHeight="1" ht="11.25">
      <c r="A1066" s="1854" t="s">
        <v>2542</v>
      </c>
      <c r="B1066" s="1854" t="s">
        <v>16</v>
      </c>
      <c r="C1066" s="1854" t="s">
        <v>3663</v>
      </c>
      <c r="D1066" s="1854" t="s">
        <v>3664</v>
      </c>
      <c r="E1066" s="1854" t="s">
        <v>3665</v>
      </c>
      <c r="F1066" s="1854" t="s">
        <v>2610</v>
      </c>
      <c r="G1066" s="1854" t="s">
        <v>22</v>
      </c>
      <c r="H1066" s="1854" t="s">
        <v>22</v>
      </c>
      <c r="I1066" s="1854" t="s">
        <v>1171</v>
      </c>
    </row>
    <row customHeight="1" ht="11.25">
      <c r="A1067" s="1854" t="s">
        <v>2542</v>
      </c>
      <c r="B1067" s="1854" t="s">
        <v>16</v>
      </c>
      <c r="C1067" s="1854" t="s">
        <v>3684</v>
      </c>
      <c r="D1067" s="1854" t="s">
        <v>3685</v>
      </c>
      <c r="E1067" s="1854" t="s">
        <v>3686</v>
      </c>
      <c r="F1067" s="1854" t="s">
        <v>2591</v>
      </c>
      <c r="G1067" s="1854" t="s">
        <v>22</v>
      </c>
      <c r="H1067" s="1854" t="s">
        <v>22</v>
      </c>
      <c r="I1067" s="1854" t="s">
        <v>1171</v>
      </c>
    </row>
    <row customHeight="1" ht="11.25">
      <c r="A1068" s="1854" t="s">
        <v>2542</v>
      </c>
      <c r="B1068" s="1854" t="s">
        <v>16</v>
      </c>
      <c r="C1068" s="1854" t="s">
        <v>3696</v>
      </c>
      <c r="D1068" s="1854" t="s">
        <v>3697</v>
      </c>
      <c r="E1068" s="1854" t="s">
        <v>3698</v>
      </c>
      <c r="F1068" s="1854" t="s">
        <v>2610</v>
      </c>
      <c r="G1068" s="1854" t="s">
        <v>22</v>
      </c>
      <c r="H1068" s="1854" t="s">
        <v>22</v>
      </c>
      <c r="I1068" s="1854" t="s">
        <v>1171</v>
      </c>
    </row>
    <row customHeight="1" ht="11.25">
      <c r="A1069" s="1854" t="s">
        <v>2542</v>
      </c>
      <c r="B1069" s="1854" t="s">
        <v>16</v>
      </c>
      <c r="C1069" s="1854" t="s">
        <v>4376</v>
      </c>
      <c r="D1069" s="1854" t="s">
        <v>4377</v>
      </c>
      <c r="E1069" s="1854" t="s">
        <v>4378</v>
      </c>
      <c r="F1069" s="1854" t="s">
        <v>3181</v>
      </c>
      <c r="G1069" s="1854" t="s">
        <v>22</v>
      </c>
      <c r="H1069" s="1854" t="s">
        <v>22</v>
      </c>
      <c r="I1069" s="1854" t="s">
        <v>1171</v>
      </c>
    </row>
    <row customHeight="1" ht="11.25">
      <c r="A1070" s="1854" t="s">
        <v>2542</v>
      </c>
      <c r="B1070" s="1854" t="s">
        <v>16</v>
      </c>
      <c r="C1070" s="1854" t="s">
        <v>4260</v>
      </c>
      <c r="D1070" s="1854" t="s">
        <v>4261</v>
      </c>
      <c r="E1070" s="1854" t="s">
        <v>4262</v>
      </c>
      <c r="F1070" s="1854" t="s">
        <v>2821</v>
      </c>
      <c r="G1070" s="1854" t="s">
        <v>22</v>
      </c>
      <c r="H1070" s="1854" t="s">
        <v>22</v>
      </c>
      <c r="I1070" s="1854" t="s">
        <v>1171</v>
      </c>
    </row>
    <row customHeight="1" ht="11.25">
      <c r="A1071" s="1854" t="s">
        <v>2542</v>
      </c>
      <c r="B1071" s="1854" t="s">
        <v>16</v>
      </c>
      <c r="C1071" s="1854" t="s">
        <v>4379</v>
      </c>
      <c r="D1071" s="1854" t="s">
        <v>4380</v>
      </c>
      <c r="E1071" s="1854" t="s">
        <v>4381</v>
      </c>
      <c r="F1071" s="1854" t="s">
        <v>2606</v>
      </c>
      <c r="G1071" s="1854" t="s">
        <v>22</v>
      </c>
      <c r="H1071" s="1854" t="s">
        <v>22</v>
      </c>
      <c r="I1071" s="1854" t="s">
        <v>1171</v>
      </c>
    </row>
    <row customHeight="1" ht="11.25">
      <c r="A1072" s="1854" t="s">
        <v>2542</v>
      </c>
      <c r="B1072" s="1854" t="s">
        <v>16</v>
      </c>
      <c r="C1072" s="1854" t="s">
        <v>4266</v>
      </c>
      <c r="D1072" s="1854" t="s">
        <v>4267</v>
      </c>
      <c r="E1072" s="1854" t="s">
        <v>4268</v>
      </c>
      <c r="F1072" s="1854" t="s">
        <v>2828</v>
      </c>
      <c r="G1072" s="1854" t="s">
        <v>22</v>
      </c>
      <c r="H1072" s="1854" t="s">
        <v>22</v>
      </c>
      <c r="I1072" s="1854" t="s">
        <v>1171</v>
      </c>
    </row>
    <row customHeight="1" ht="11.25">
      <c r="A1073" s="1854" t="s">
        <v>2542</v>
      </c>
      <c r="B1073" s="1854" t="s">
        <v>16</v>
      </c>
      <c r="C1073" s="1854" t="s">
        <v>4382</v>
      </c>
      <c r="D1073" s="1854" t="s">
        <v>4383</v>
      </c>
      <c r="E1073" s="1854" t="s">
        <v>4384</v>
      </c>
      <c r="F1073" s="1854" t="s">
        <v>2767</v>
      </c>
      <c r="G1073" s="1854" t="s">
        <v>22</v>
      </c>
      <c r="H1073" s="1854" t="s">
        <v>22</v>
      </c>
      <c r="I1073" s="1854" t="s">
        <v>1171</v>
      </c>
    </row>
    <row customHeight="1" ht="11.25">
      <c r="A1074" s="1854" t="s">
        <v>2542</v>
      </c>
      <c r="B1074" s="1854" t="s">
        <v>16</v>
      </c>
      <c r="C1074" s="1854" t="s">
        <v>4269</v>
      </c>
      <c r="D1074" s="1854" t="s">
        <v>4270</v>
      </c>
      <c r="E1074" s="1854" t="s">
        <v>4271</v>
      </c>
      <c r="F1074" s="1854" t="s">
        <v>2606</v>
      </c>
      <c r="G1074" s="1854" t="s">
        <v>22</v>
      </c>
      <c r="H1074" s="1854" t="s">
        <v>22</v>
      </c>
      <c r="I1074" s="1854" t="s">
        <v>1171</v>
      </c>
    </row>
    <row customHeight="1" ht="11.25">
      <c r="A1075" s="1854" t="s">
        <v>2542</v>
      </c>
      <c r="B1075" s="1854" t="s">
        <v>16</v>
      </c>
      <c r="C1075" s="1854" t="s">
        <v>3766</v>
      </c>
      <c r="D1075" s="1854" t="s">
        <v>3767</v>
      </c>
      <c r="E1075" s="1854" t="s">
        <v>3768</v>
      </c>
      <c r="F1075" s="1854" t="s">
        <v>50</v>
      </c>
      <c r="G1075" s="1854" t="s">
        <v>22</v>
      </c>
      <c r="H1075" s="1854" t="s">
        <v>22</v>
      </c>
      <c r="I1075" s="1854" t="s">
        <v>1171</v>
      </c>
    </row>
    <row customHeight="1" ht="11.25">
      <c r="A1076" s="1854" t="s">
        <v>2542</v>
      </c>
      <c r="B1076" s="1854" t="s">
        <v>16</v>
      </c>
      <c r="C1076" s="1854" t="s">
        <v>4272</v>
      </c>
      <c r="D1076" s="1854" t="s">
        <v>4273</v>
      </c>
      <c r="E1076" s="1854" t="s">
        <v>4274</v>
      </c>
      <c r="F1076" s="1854" t="s">
        <v>2844</v>
      </c>
      <c r="G1076" s="1854" t="s">
        <v>22</v>
      </c>
      <c r="H1076" s="1854" t="s">
        <v>22</v>
      </c>
      <c r="I1076" s="1854" t="s">
        <v>1171</v>
      </c>
    </row>
    <row customHeight="1" ht="11.25">
      <c r="A1077" s="1854" t="s">
        <v>2542</v>
      </c>
      <c r="B1077" s="1854" t="s">
        <v>16</v>
      </c>
      <c r="C1077" s="1854" t="s">
        <v>4275</v>
      </c>
      <c r="D1077" s="1854" t="s">
        <v>4276</v>
      </c>
      <c r="E1077" s="1854" t="s">
        <v>4277</v>
      </c>
      <c r="F1077" s="1854" t="s">
        <v>3256</v>
      </c>
      <c r="G1077" s="1854" t="s">
        <v>22</v>
      </c>
      <c r="H1077" s="1854" t="s">
        <v>22</v>
      </c>
      <c r="I1077" s="1854" t="s">
        <v>1171</v>
      </c>
    </row>
    <row customHeight="1" ht="11.25">
      <c r="A1078" s="1854" t="s">
        <v>2542</v>
      </c>
      <c r="B1078" s="1854" t="s">
        <v>16</v>
      </c>
      <c r="C1078" s="1854" t="s">
        <v>4278</v>
      </c>
      <c r="D1078" s="1854" t="s">
        <v>4279</v>
      </c>
      <c r="E1078" s="1854" t="s">
        <v>4280</v>
      </c>
      <c r="F1078" s="1854" t="s">
        <v>2821</v>
      </c>
      <c r="G1078" s="1854" t="s">
        <v>22</v>
      </c>
      <c r="H1078" s="1854" t="s">
        <v>22</v>
      </c>
      <c r="I1078" s="1854" t="s">
        <v>1171</v>
      </c>
    </row>
    <row customHeight="1" ht="11.25">
      <c r="A1079" s="1854" t="s">
        <v>2542</v>
      </c>
      <c r="B1079" s="1854" t="s">
        <v>16</v>
      </c>
      <c r="C1079" s="1854" t="s">
        <v>4281</v>
      </c>
      <c r="D1079" s="1854" t="s">
        <v>4282</v>
      </c>
      <c r="E1079" s="1854" t="s">
        <v>4283</v>
      </c>
      <c r="F1079" s="1854" t="s">
        <v>2933</v>
      </c>
      <c r="G1079" s="1854" t="s">
        <v>22</v>
      </c>
      <c r="H1079" s="1854" t="s">
        <v>22</v>
      </c>
      <c r="I1079" s="1854" t="s">
        <v>1171</v>
      </c>
    </row>
    <row customHeight="1" ht="11.25">
      <c r="A1080" s="1854" t="s">
        <v>2542</v>
      </c>
      <c r="B1080" s="1854" t="s">
        <v>16</v>
      </c>
      <c r="C1080" s="1854" t="s">
        <v>3841</v>
      </c>
      <c r="D1080" s="1854" t="s">
        <v>3842</v>
      </c>
      <c r="E1080" s="1854" t="s">
        <v>2594</v>
      </c>
      <c r="F1080" s="1854" t="s">
        <v>3843</v>
      </c>
      <c r="G1080" s="1854" t="s">
        <v>22</v>
      </c>
      <c r="H1080" s="1854" t="s">
        <v>22</v>
      </c>
      <c r="I1080" s="1854" t="s">
        <v>1171</v>
      </c>
    </row>
    <row customHeight="1" ht="11.25">
      <c r="A1081" s="1854" t="s">
        <v>2542</v>
      </c>
      <c r="B1081" s="1854" t="s">
        <v>16</v>
      </c>
      <c r="C1081" s="1854" t="s">
        <v>3848</v>
      </c>
      <c r="D1081" s="1854" t="s">
        <v>3849</v>
      </c>
      <c r="E1081" s="1854" t="s">
        <v>3850</v>
      </c>
      <c r="F1081" s="1854" t="s">
        <v>2973</v>
      </c>
      <c r="G1081" s="1854" t="s">
        <v>22</v>
      </c>
      <c r="H1081" s="1854" t="s">
        <v>22</v>
      </c>
      <c r="I1081" s="1854" t="s">
        <v>1171</v>
      </c>
    </row>
    <row customHeight="1" ht="11.25">
      <c r="A1082" s="1854" t="s">
        <v>2542</v>
      </c>
      <c r="B1082" s="1854" t="s">
        <v>16</v>
      </c>
      <c r="C1082" s="1854" t="s">
        <v>3851</v>
      </c>
      <c r="D1082" s="1854" t="s">
        <v>3852</v>
      </c>
      <c r="E1082" s="1854" t="s">
        <v>3853</v>
      </c>
      <c r="F1082" s="1854" t="s">
        <v>2620</v>
      </c>
      <c r="G1082" s="1854" t="s">
        <v>22</v>
      </c>
      <c r="H1082" s="1854" t="s">
        <v>22</v>
      </c>
      <c r="I1082" s="1854" t="s">
        <v>1171</v>
      </c>
    </row>
    <row customHeight="1" ht="11.25">
      <c r="A1083" s="1854" t="s">
        <v>2542</v>
      </c>
      <c r="B1083" s="1854" t="s">
        <v>16</v>
      </c>
      <c r="C1083" s="1854" t="s">
        <v>4385</v>
      </c>
      <c r="D1083" s="1854" t="s">
        <v>4386</v>
      </c>
      <c r="E1083" s="1854" t="s">
        <v>4387</v>
      </c>
      <c r="F1083" s="1854" t="s">
        <v>2599</v>
      </c>
      <c r="G1083" s="1854" t="s">
        <v>22</v>
      </c>
      <c r="H1083" s="1854" t="s">
        <v>22</v>
      </c>
      <c r="I1083" s="1854" t="s">
        <v>1171</v>
      </c>
    </row>
    <row customHeight="1" ht="11.25">
      <c r="A1084" s="1854" t="s">
        <v>2542</v>
      </c>
      <c r="B1084" s="1854" t="s">
        <v>16</v>
      </c>
      <c r="C1084" s="1854" t="s">
        <v>3861</v>
      </c>
      <c r="D1084" s="1854" t="s">
        <v>3862</v>
      </c>
      <c r="E1084" s="1854" t="s">
        <v>3863</v>
      </c>
      <c r="F1084" s="1854" t="s">
        <v>2729</v>
      </c>
      <c r="G1084" s="1854" t="s">
        <v>22</v>
      </c>
      <c r="H1084" s="1854" t="s">
        <v>22</v>
      </c>
      <c r="I1084" s="1854" t="s">
        <v>1171</v>
      </c>
    </row>
    <row customHeight="1" ht="11.25">
      <c r="A1085" s="1854" t="s">
        <v>2542</v>
      </c>
      <c r="B1085" s="1854" t="s">
        <v>16</v>
      </c>
      <c r="C1085" s="1854" t="s">
        <v>3864</v>
      </c>
      <c r="D1085" s="1854" t="s">
        <v>3865</v>
      </c>
      <c r="E1085" s="1854" t="s">
        <v>3866</v>
      </c>
      <c r="F1085" s="1854" t="s">
        <v>2599</v>
      </c>
      <c r="G1085" s="1854" t="s">
        <v>22</v>
      </c>
      <c r="H1085" s="1854" t="s">
        <v>22</v>
      </c>
      <c r="I1085" s="1854" t="s">
        <v>1171</v>
      </c>
    </row>
    <row customHeight="1" ht="11.25">
      <c r="A1086" s="1854" t="s">
        <v>2542</v>
      </c>
      <c r="B1086" s="1854" t="s">
        <v>16</v>
      </c>
      <c r="C1086" s="1854" t="s">
        <v>3870</v>
      </c>
      <c r="D1086" s="1854" t="s">
        <v>3871</v>
      </c>
      <c r="E1086" s="1854" t="s">
        <v>3872</v>
      </c>
      <c r="F1086" s="1854" t="s">
        <v>2917</v>
      </c>
      <c r="G1086" s="1854" t="s">
        <v>22</v>
      </c>
      <c r="H1086" s="1854" t="s">
        <v>22</v>
      </c>
      <c r="I1086" s="1854" t="s">
        <v>1171</v>
      </c>
    </row>
    <row customHeight="1" ht="11.25">
      <c r="A1087" s="1854" t="s">
        <v>2542</v>
      </c>
      <c r="B1087" s="1854" t="s">
        <v>16</v>
      </c>
      <c r="C1087" s="1854" t="s">
        <v>3882</v>
      </c>
      <c r="D1087" s="1854" t="s">
        <v>3883</v>
      </c>
      <c r="E1087" s="1854" t="s">
        <v>3884</v>
      </c>
      <c r="F1087" s="1854" t="s">
        <v>2743</v>
      </c>
      <c r="G1087" s="1854" t="s">
        <v>22</v>
      </c>
      <c r="H1087" s="1854" t="s">
        <v>22</v>
      </c>
      <c r="I1087" s="1854" t="s">
        <v>1171</v>
      </c>
    </row>
    <row customHeight="1" ht="11.25">
      <c r="A1088" s="1854" t="s">
        <v>2542</v>
      </c>
      <c r="B1088" s="1854" t="s">
        <v>16</v>
      </c>
      <c r="C1088" s="1854" t="s">
        <v>3885</v>
      </c>
      <c r="D1088" s="1854" t="s">
        <v>3886</v>
      </c>
      <c r="E1088" s="1854" t="s">
        <v>3887</v>
      </c>
      <c r="F1088" s="1854" t="s">
        <v>2984</v>
      </c>
      <c r="G1088" s="1854" t="s">
        <v>22</v>
      </c>
      <c r="H1088" s="1854" t="s">
        <v>22</v>
      </c>
      <c r="I1088" s="1854" t="s">
        <v>1171</v>
      </c>
    </row>
    <row customHeight="1" ht="11.25">
      <c r="A1089" s="1854" t="s">
        <v>2542</v>
      </c>
      <c r="B1089" s="1854" t="s">
        <v>16</v>
      </c>
      <c r="C1089" s="1854" t="s">
        <v>22</v>
      </c>
      <c r="D1089" s="1854" t="s">
        <v>3888</v>
      </c>
      <c r="E1089" s="1854" t="s">
        <v>3889</v>
      </c>
      <c r="F1089" s="1854" t="s">
        <v>2550</v>
      </c>
      <c r="G1089" s="1854" t="s">
        <v>22</v>
      </c>
      <c r="H1089" s="1854" t="s">
        <v>22</v>
      </c>
      <c r="I1089" s="1854" t="s">
        <v>1171</v>
      </c>
    </row>
    <row customHeight="1" ht="11.25">
      <c r="A1090" s="1854" t="s">
        <v>2542</v>
      </c>
      <c r="B1090" s="1854" t="s">
        <v>16</v>
      </c>
      <c r="C1090" s="1854" t="s">
        <v>4287</v>
      </c>
      <c r="D1090" s="1854" t="s">
        <v>4288</v>
      </c>
      <c r="E1090" s="1854" t="s">
        <v>4289</v>
      </c>
      <c r="F1090" s="1854" t="s">
        <v>3181</v>
      </c>
      <c r="G1090" s="1854" t="s">
        <v>22</v>
      </c>
      <c r="H1090" s="1854" t="s">
        <v>22</v>
      </c>
      <c r="I1090" s="1854" t="s">
        <v>1171</v>
      </c>
    </row>
    <row customHeight="1" ht="11.25">
      <c r="A1091" s="1854" t="s">
        <v>2542</v>
      </c>
      <c r="B1091" s="1854" t="s">
        <v>16</v>
      </c>
      <c r="C1091" s="1854" t="s">
        <v>3893</v>
      </c>
      <c r="D1091" s="1854" t="s">
        <v>3894</v>
      </c>
      <c r="E1091" s="1854" t="s">
        <v>3895</v>
      </c>
      <c r="F1091" s="1854" t="s">
        <v>2785</v>
      </c>
      <c r="G1091" s="1854" t="s">
        <v>3896</v>
      </c>
      <c r="H1091" s="1854" t="s">
        <v>22</v>
      </c>
      <c r="I1091" s="1854" t="s">
        <v>1171</v>
      </c>
    </row>
    <row customHeight="1" ht="11.25">
      <c r="A1092" s="1854" t="s">
        <v>2542</v>
      </c>
      <c r="B1092" s="1854" t="s">
        <v>16</v>
      </c>
      <c r="C1092" s="1854" t="s">
        <v>3897</v>
      </c>
      <c r="D1092" s="1854" t="s">
        <v>3898</v>
      </c>
      <c r="E1092" s="1854" t="s">
        <v>3899</v>
      </c>
      <c r="F1092" s="1854" t="s">
        <v>2785</v>
      </c>
      <c r="G1092" s="1854" t="s">
        <v>22</v>
      </c>
      <c r="H1092" s="1854" t="s">
        <v>22</v>
      </c>
      <c r="I1092" s="1854" t="s">
        <v>1171</v>
      </c>
    </row>
    <row customHeight="1" ht="11.25">
      <c r="A1093" s="1854" t="s">
        <v>2542</v>
      </c>
      <c r="B1093" s="1854" t="s">
        <v>16</v>
      </c>
      <c r="C1093" s="1854" t="s">
        <v>3909</v>
      </c>
      <c r="D1093" s="1854" t="s">
        <v>3910</v>
      </c>
      <c r="E1093" s="1854" t="s">
        <v>3911</v>
      </c>
      <c r="F1093" s="1854" t="s">
        <v>3843</v>
      </c>
      <c r="G1093" s="1854" t="s">
        <v>22</v>
      </c>
      <c r="H1093" s="1854" t="s">
        <v>22</v>
      </c>
      <c r="I1093" s="1854" t="s">
        <v>1171</v>
      </c>
    </row>
    <row customHeight="1" ht="11.25">
      <c r="A1094" s="1854" t="s">
        <v>2542</v>
      </c>
      <c r="B1094" s="1854" t="s">
        <v>16</v>
      </c>
      <c r="C1094" s="1854" t="s">
        <v>3912</v>
      </c>
      <c r="D1094" s="1854" t="s">
        <v>3910</v>
      </c>
      <c r="E1094" s="1854" t="s">
        <v>3911</v>
      </c>
      <c r="F1094" s="1854" t="s">
        <v>2725</v>
      </c>
      <c r="G1094" s="1854" t="s">
        <v>22</v>
      </c>
      <c r="H1094" s="1854" t="s">
        <v>22</v>
      </c>
      <c r="I1094" s="1854" t="s">
        <v>1171</v>
      </c>
    </row>
    <row customHeight="1" ht="11.25">
      <c r="A1095" s="1854" t="s">
        <v>2542</v>
      </c>
      <c r="B1095" s="1854" t="s">
        <v>16</v>
      </c>
      <c r="C1095" s="1854" t="s">
        <v>4299</v>
      </c>
      <c r="D1095" s="1854" t="s">
        <v>4300</v>
      </c>
      <c r="E1095" s="1854" t="s">
        <v>4301</v>
      </c>
      <c r="F1095" s="1854" t="s">
        <v>3256</v>
      </c>
      <c r="G1095" s="1854" t="s">
        <v>22</v>
      </c>
      <c r="H1095" s="1854" t="s">
        <v>22</v>
      </c>
      <c r="I1095" s="1854" t="s">
        <v>1171</v>
      </c>
    </row>
    <row customHeight="1" ht="11.25">
      <c r="A1096" s="1854" t="s">
        <v>2542</v>
      </c>
      <c r="B1096" s="1854" t="s">
        <v>16</v>
      </c>
      <c r="C1096" s="1854" t="s">
        <v>3913</v>
      </c>
      <c r="D1096" s="1854" t="s">
        <v>3914</v>
      </c>
      <c r="E1096" s="1854" t="s">
        <v>3915</v>
      </c>
      <c r="F1096" s="1854" t="s">
        <v>2733</v>
      </c>
      <c r="G1096" s="1854" t="s">
        <v>22</v>
      </c>
      <c r="H1096" s="1854" t="s">
        <v>22</v>
      </c>
      <c r="I1096" s="1854" t="s">
        <v>1171</v>
      </c>
    </row>
    <row customHeight="1" ht="11.25">
      <c r="A1097" s="1854" t="s">
        <v>2542</v>
      </c>
      <c r="B1097" s="1854" t="s">
        <v>16</v>
      </c>
      <c r="C1097" s="1854" t="s">
        <v>3920</v>
      </c>
      <c r="D1097" s="1854" t="s">
        <v>3921</v>
      </c>
      <c r="E1097" s="1854" t="s">
        <v>3922</v>
      </c>
      <c r="F1097" s="1854" t="s">
        <v>2606</v>
      </c>
      <c r="G1097" s="1854" t="s">
        <v>22</v>
      </c>
      <c r="H1097" s="1854" t="s">
        <v>22</v>
      </c>
      <c r="I1097" s="1854" t="s">
        <v>1171</v>
      </c>
    </row>
    <row customHeight="1" ht="11.25">
      <c r="A1098" s="1854" t="s">
        <v>2542</v>
      </c>
      <c r="B1098" s="1854" t="s">
        <v>16</v>
      </c>
      <c r="C1098" s="1854" t="s">
        <v>4388</v>
      </c>
      <c r="D1098" s="1854" t="s">
        <v>4389</v>
      </c>
      <c r="E1098" s="1854" t="s">
        <v>4390</v>
      </c>
      <c r="F1098" s="1854" t="s">
        <v>2743</v>
      </c>
      <c r="G1098" s="1854" t="s">
        <v>22</v>
      </c>
      <c r="H1098" s="1854" t="s">
        <v>22</v>
      </c>
      <c r="I1098" s="1854" t="s">
        <v>1171</v>
      </c>
    </row>
    <row customHeight="1" ht="11.25">
      <c r="A1099" s="1854" t="s">
        <v>2542</v>
      </c>
      <c r="B1099" s="1854" t="s">
        <v>16</v>
      </c>
      <c r="C1099" s="1854" t="s">
        <v>3943</v>
      </c>
      <c r="D1099" s="1854" t="s">
        <v>3944</v>
      </c>
      <c r="E1099" s="1854" t="s">
        <v>3945</v>
      </c>
      <c r="F1099" s="1854" t="s">
        <v>2940</v>
      </c>
      <c r="G1099" s="1854" t="s">
        <v>22</v>
      </c>
      <c r="H1099" s="1854" t="s">
        <v>22</v>
      </c>
      <c r="I1099" s="1854" t="s">
        <v>1171</v>
      </c>
    </row>
    <row customHeight="1" ht="11.25">
      <c r="A1100" s="1854" t="s">
        <v>2542</v>
      </c>
      <c r="B1100" s="1854" t="s">
        <v>16</v>
      </c>
      <c r="C1100" s="1854" t="s">
        <v>3946</v>
      </c>
      <c r="D1100" s="1854" t="s">
        <v>3947</v>
      </c>
      <c r="E1100" s="1854" t="s">
        <v>3948</v>
      </c>
      <c r="F1100" s="1854" t="s">
        <v>2925</v>
      </c>
      <c r="G1100" s="1854" t="s">
        <v>3949</v>
      </c>
      <c r="H1100" s="1854" t="s">
        <v>22</v>
      </c>
      <c r="I1100" s="1854" t="s">
        <v>1171</v>
      </c>
    </row>
    <row customHeight="1" ht="11.25">
      <c r="A1101" s="1854" t="s">
        <v>2542</v>
      </c>
      <c r="B1101" s="1854" t="s">
        <v>16</v>
      </c>
      <c r="C1101" s="1854" t="s">
        <v>3950</v>
      </c>
      <c r="D1101" s="1854" t="s">
        <v>3951</v>
      </c>
      <c r="E1101" s="1854" t="s">
        <v>3952</v>
      </c>
      <c r="F1101" s="1854" t="s">
        <v>2599</v>
      </c>
      <c r="G1101" s="1854" t="s">
        <v>22</v>
      </c>
      <c r="H1101" s="1854" t="s">
        <v>22</v>
      </c>
      <c r="I1101" s="1854" t="s">
        <v>1171</v>
      </c>
    </row>
    <row customHeight="1" ht="11.25">
      <c r="A1102" s="1854" t="s">
        <v>2542</v>
      </c>
      <c r="B1102" s="1854" t="s">
        <v>16</v>
      </c>
      <c r="C1102" s="1854" t="s">
        <v>4391</v>
      </c>
      <c r="D1102" s="1854" t="s">
        <v>4392</v>
      </c>
      <c r="E1102" s="1854" t="s">
        <v>4393</v>
      </c>
      <c r="F1102" s="1854" t="s">
        <v>2550</v>
      </c>
      <c r="G1102" s="1854" t="s">
        <v>22</v>
      </c>
      <c r="H1102" s="1854" t="s">
        <v>22</v>
      </c>
      <c r="I1102" s="1854" t="s">
        <v>1925</v>
      </c>
    </row>
    <row customHeight="1" ht="11.25">
      <c r="A1103" s="1854" t="s">
        <v>2542</v>
      </c>
      <c r="B1103" s="1854" t="s">
        <v>16</v>
      </c>
      <c r="C1103" s="1854" t="s">
        <v>4394</v>
      </c>
      <c r="D1103" s="1854" t="s">
        <v>4395</v>
      </c>
      <c r="E1103" s="1854" t="s">
        <v>4396</v>
      </c>
      <c r="F1103" s="1854" t="s">
        <v>2743</v>
      </c>
      <c r="G1103" s="1854" t="s">
        <v>22</v>
      </c>
      <c r="H1103" s="1854" t="s">
        <v>22</v>
      </c>
      <c r="I1103" s="1854" t="s">
        <v>1925</v>
      </c>
    </row>
    <row customHeight="1" ht="11.25">
      <c r="A1104" s="1854" t="s">
        <v>2542</v>
      </c>
      <c r="B1104" s="1854" t="s">
        <v>16</v>
      </c>
      <c r="C1104" s="1854" t="s">
        <v>4054</v>
      </c>
      <c r="D1104" s="1854" t="s">
        <v>4055</v>
      </c>
      <c r="E1104" s="1854" t="s">
        <v>4056</v>
      </c>
      <c r="F1104" s="1854" t="s">
        <v>2953</v>
      </c>
      <c r="G1104" s="1854" t="s">
        <v>22</v>
      </c>
      <c r="H1104" s="1854" t="s">
        <v>22</v>
      </c>
      <c r="I1104" s="1854" t="s">
        <v>1925</v>
      </c>
    </row>
    <row customHeight="1" ht="11.25">
      <c r="A1105" s="1854" t="s">
        <v>2542</v>
      </c>
      <c r="B1105" s="1854" t="s">
        <v>16</v>
      </c>
      <c r="C1105" s="1854" t="s">
        <v>4397</v>
      </c>
      <c r="D1105" s="1854" t="s">
        <v>4398</v>
      </c>
      <c r="E1105" s="1854" t="s">
        <v>4399</v>
      </c>
      <c r="F1105" s="1854" t="s">
        <v>2733</v>
      </c>
      <c r="G1105" s="1854" t="s">
        <v>22</v>
      </c>
      <c r="H1105" s="1854" t="s">
        <v>22</v>
      </c>
      <c r="I1105" s="1854" t="s">
        <v>1925</v>
      </c>
    </row>
    <row customHeight="1" ht="11.25">
      <c r="A1106" s="1854" t="s">
        <v>2542</v>
      </c>
      <c r="B1106" s="1854" t="s">
        <v>16</v>
      </c>
      <c r="C1106" s="1854" t="s">
        <v>3053</v>
      </c>
      <c r="D1106" s="1854" t="s">
        <v>3054</v>
      </c>
      <c r="E1106" s="1854" t="s">
        <v>3055</v>
      </c>
      <c r="F1106" s="1854" t="s">
        <v>2794</v>
      </c>
      <c r="G1106" s="1854" t="s">
        <v>22</v>
      </c>
      <c r="H1106" s="1854" t="s">
        <v>22</v>
      </c>
      <c r="I1106" s="1854" t="s">
        <v>1925</v>
      </c>
    </row>
    <row customHeight="1" ht="11.25">
      <c r="A1107" s="1854" t="s">
        <v>2542</v>
      </c>
      <c r="B1107" s="1854" t="s">
        <v>16</v>
      </c>
      <c r="C1107" s="1854" t="s">
        <v>3056</v>
      </c>
      <c r="D1107" s="1854" t="s">
        <v>3057</v>
      </c>
      <c r="E1107" s="1854" t="s">
        <v>3058</v>
      </c>
      <c r="F1107" s="1854" t="s">
        <v>2817</v>
      </c>
      <c r="G1107" s="1854" t="s">
        <v>22</v>
      </c>
      <c r="H1107" s="1854" t="s">
        <v>22</v>
      </c>
      <c r="I1107" s="1854" t="s">
        <v>1925</v>
      </c>
    </row>
    <row customHeight="1" ht="11.25">
      <c r="A1108" s="1854" t="s">
        <v>2542</v>
      </c>
      <c r="B1108" s="1854" t="s">
        <v>16</v>
      </c>
      <c r="C1108" s="1854" t="s">
        <v>3062</v>
      </c>
      <c r="D1108" s="1854" t="s">
        <v>3063</v>
      </c>
      <c r="E1108" s="1854" t="s">
        <v>3064</v>
      </c>
      <c r="F1108" s="1854" t="s">
        <v>3065</v>
      </c>
      <c r="G1108" s="1854" t="s">
        <v>22</v>
      </c>
      <c r="H1108" s="1854" t="s">
        <v>22</v>
      </c>
      <c r="I1108" s="1854" t="s">
        <v>1925</v>
      </c>
    </row>
    <row customHeight="1" ht="11.25">
      <c r="A1109" s="1854" t="s">
        <v>2542</v>
      </c>
      <c r="B1109" s="1854" t="s">
        <v>16</v>
      </c>
      <c r="C1109" s="1854" t="s">
        <v>3093</v>
      </c>
      <c r="D1109" s="1854" t="s">
        <v>3094</v>
      </c>
      <c r="E1109" s="1854" t="s">
        <v>3095</v>
      </c>
      <c r="F1109" s="1854" t="s">
        <v>2809</v>
      </c>
      <c r="G1109" s="1854" t="s">
        <v>22</v>
      </c>
      <c r="H1109" s="1854" t="s">
        <v>22</v>
      </c>
      <c r="I1109" s="1854" t="s">
        <v>1925</v>
      </c>
    </row>
    <row customHeight="1" ht="11.25">
      <c r="A1110" s="1854" t="s">
        <v>2542</v>
      </c>
      <c r="B1110" s="1854" t="s">
        <v>16</v>
      </c>
      <c r="C1110" s="1854" t="s">
        <v>3126</v>
      </c>
      <c r="D1110" s="1854" t="s">
        <v>3127</v>
      </c>
      <c r="E1110" s="1854" t="s">
        <v>3128</v>
      </c>
      <c r="F1110" s="1854" t="s">
        <v>3129</v>
      </c>
      <c r="G1110" s="1854" t="s">
        <v>22</v>
      </c>
      <c r="H1110" s="1854" t="s">
        <v>22</v>
      </c>
      <c r="I1110" s="1854" t="s">
        <v>1925</v>
      </c>
    </row>
    <row customHeight="1" ht="11.25">
      <c r="A1111" s="1854" t="s">
        <v>2542</v>
      </c>
      <c r="B1111" s="1854" t="s">
        <v>16</v>
      </c>
      <c r="C1111" s="1854" t="s">
        <v>3296</v>
      </c>
      <c r="D1111" s="1854" t="s">
        <v>3297</v>
      </c>
      <c r="E1111" s="1854" t="s">
        <v>3298</v>
      </c>
      <c r="F1111" s="1854" t="s">
        <v>2805</v>
      </c>
      <c r="G1111" s="1854" t="s">
        <v>22</v>
      </c>
      <c r="H1111" s="1854" t="s">
        <v>22</v>
      </c>
      <c r="I1111" s="1854" t="s">
        <v>1925</v>
      </c>
    </row>
    <row customHeight="1" ht="11.25">
      <c r="A1112" s="1854" t="s">
        <v>2542</v>
      </c>
      <c r="B1112" s="1854" t="s">
        <v>16</v>
      </c>
      <c r="C1112" s="1854" t="s">
        <v>4400</v>
      </c>
      <c r="D1112" s="1854" t="s">
        <v>4401</v>
      </c>
      <c r="E1112" s="1854" t="s">
        <v>4402</v>
      </c>
      <c r="F1112" s="1854" t="s">
        <v>2584</v>
      </c>
      <c r="G1112" s="1854" t="s">
        <v>22</v>
      </c>
      <c r="H1112" s="1854" t="s">
        <v>22</v>
      </c>
      <c r="I1112" s="1854" t="s">
        <v>1925</v>
      </c>
    </row>
    <row customHeight="1" ht="11.25">
      <c r="A1113" s="1854" t="s">
        <v>2542</v>
      </c>
      <c r="B1113" s="1854" t="s">
        <v>16</v>
      </c>
      <c r="C1113" s="1854" t="s">
        <v>4403</v>
      </c>
      <c r="D1113" s="1854" t="s">
        <v>4404</v>
      </c>
      <c r="E1113" s="1854" t="s">
        <v>4405</v>
      </c>
      <c r="F1113" s="1854" t="s">
        <v>2620</v>
      </c>
      <c r="G1113" s="1854" t="s">
        <v>22</v>
      </c>
      <c r="H1113" s="1854" t="s">
        <v>22</v>
      </c>
      <c r="I1113" s="1854" t="s">
        <v>1925</v>
      </c>
    </row>
    <row customHeight="1" ht="11.25">
      <c r="A1114" s="1854" t="s">
        <v>2542</v>
      </c>
      <c r="B1114" s="1854" t="s">
        <v>16</v>
      </c>
      <c r="C1114" s="1854" t="s">
        <v>4406</v>
      </c>
      <c r="D1114" s="1854" t="s">
        <v>4407</v>
      </c>
      <c r="E1114" s="1854" t="s">
        <v>4408</v>
      </c>
      <c r="F1114" s="1854" t="s">
        <v>3302</v>
      </c>
      <c r="G1114" s="1854" t="s">
        <v>22</v>
      </c>
      <c r="H1114" s="1854" t="s">
        <v>22</v>
      </c>
      <c r="I1114" s="1854" t="s">
        <v>1925</v>
      </c>
    </row>
    <row customHeight="1" ht="11.25">
      <c r="A1115" s="1854" t="s">
        <v>2542</v>
      </c>
      <c r="B1115" s="1854" t="s">
        <v>16</v>
      </c>
      <c r="C1115" s="1854" t="s">
        <v>4409</v>
      </c>
      <c r="D1115" s="1854" t="s">
        <v>4410</v>
      </c>
      <c r="E1115" s="1854" t="s">
        <v>4411</v>
      </c>
      <c r="F1115" s="1854" t="s">
        <v>2577</v>
      </c>
      <c r="G1115" s="1854" t="s">
        <v>22</v>
      </c>
      <c r="H1115" s="1854" t="s">
        <v>22</v>
      </c>
      <c r="I1115" s="1854" t="s">
        <v>1925</v>
      </c>
    </row>
    <row customHeight="1" ht="11.25">
      <c r="A1116" s="1854" t="s">
        <v>2542</v>
      </c>
      <c r="B1116" s="1854" t="s">
        <v>16</v>
      </c>
      <c r="C1116" s="1854" t="s">
        <v>4412</v>
      </c>
      <c r="D1116" s="1854" t="s">
        <v>4413</v>
      </c>
      <c r="E1116" s="1854" t="s">
        <v>4414</v>
      </c>
      <c r="F1116" s="1854" t="s">
        <v>4415</v>
      </c>
      <c r="G1116" s="1854" t="s">
        <v>22</v>
      </c>
      <c r="H1116" s="1854" t="s">
        <v>22</v>
      </c>
      <c r="I1116" s="1854" t="s">
        <v>1925</v>
      </c>
    </row>
    <row customHeight="1" ht="11.25">
      <c r="A1117" s="1854" t="s">
        <v>2542</v>
      </c>
      <c r="B1117" s="1854" t="s">
        <v>16</v>
      </c>
      <c r="C1117" s="1854" t="s">
        <v>4183</v>
      </c>
      <c r="D1117" s="1854" t="s">
        <v>4184</v>
      </c>
      <c r="E1117" s="1854" t="s">
        <v>4185</v>
      </c>
      <c r="F1117" s="1854" t="s">
        <v>2785</v>
      </c>
      <c r="G1117" s="1854" t="s">
        <v>22</v>
      </c>
      <c r="H1117" s="1854" t="s">
        <v>22</v>
      </c>
      <c r="I1117" s="1854" t="s">
        <v>1925</v>
      </c>
    </row>
    <row customHeight="1" ht="11.25">
      <c r="A1118" s="1854" t="s">
        <v>2542</v>
      </c>
      <c r="B1118" s="1854" t="s">
        <v>16</v>
      </c>
      <c r="C1118" s="1854" t="s">
        <v>4416</v>
      </c>
      <c r="D1118" s="1854" t="s">
        <v>4417</v>
      </c>
      <c r="E1118" s="1854" t="s">
        <v>4418</v>
      </c>
      <c r="F1118" s="1854" t="s">
        <v>2665</v>
      </c>
      <c r="G1118" s="1854" t="s">
        <v>22</v>
      </c>
      <c r="H1118" s="1854" t="s">
        <v>22</v>
      </c>
      <c r="I1118" s="1854" t="s">
        <v>1925</v>
      </c>
    </row>
    <row customHeight="1" ht="11.25">
      <c r="A1119" s="1854" t="s">
        <v>2542</v>
      </c>
      <c r="B1119" s="1854" t="s">
        <v>16</v>
      </c>
      <c r="C1119" s="1854" t="s">
        <v>4419</v>
      </c>
      <c r="D1119" s="1854" t="s">
        <v>4420</v>
      </c>
      <c r="E1119" s="1854" t="s">
        <v>4421</v>
      </c>
      <c r="F1119" s="1854" t="s">
        <v>2844</v>
      </c>
      <c r="G1119" s="1854" t="s">
        <v>22</v>
      </c>
      <c r="H1119" s="1854" t="s">
        <v>22</v>
      </c>
      <c r="I1119" s="1854" t="s">
        <v>1925</v>
      </c>
    </row>
    <row customHeight="1" ht="11.25">
      <c r="A1120" s="1854" t="s">
        <v>2542</v>
      </c>
      <c r="B1120" s="1854" t="s">
        <v>16</v>
      </c>
      <c r="C1120" s="1854" t="s">
        <v>4422</v>
      </c>
      <c r="D1120" s="1854" t="s">
        <v>4423</v>
      </c>
      <c r="E1120" s="1854" t="s">
        <v>4424</v>
      </c>
      <c r="F1120" s="1854" t="s">
        <v>4425</v>
      </c>
      <c r="G1120" s="1854" t="s">
        <v>4426</v>
      </c>
      <c r="H1120" s="1854" t="s">
        <v>22</v>
      </c>
      <c r="I1120" s="1854" t="s">
        <v>1925</v>
      </c>
    </row>
    <row customHeight="1" ht="11.25">
      <c r="A1121" s="1854" t="s">
        <v>2542</v>
      </c>
      <c r="B1121" s="1854" t="s">
        <v>16</v>
      </c>
      <c r="C1121" s="1854" t="s">
        <v>4427</v>
      </c>
      <c r="D1121" s="1854" t="s">
        <v>4428</v>
      </c>
      <c r="E1121" s="1854" t="s">
        <v>4429</v>
      </c>
      <c r="F1121" s="1854" t="s">
        <v>50</v>
      </c>
      <c r="G1121" s="1854" t="s">
        <v>22</v>
      </c>
      <c r="H1121" s="1854" t="s">
        <v>22</v>
      </c>
      <c r="I1121" s="1854" t="s">
        <v>1925</v>
      </c>
    </row>
    <row customHeight="1" ht="11.25">
      <c r="A1122" s="1854" t="s">
        <v>2542</v>
      </c>
      <c r="B1122" s="1854" t="s">
        <v>16</v>
      </c>
      <c r="C1122" s="1854" t="s">
        <v>4430</v>
      </c>
      <c r="D1122" s="1854" t="s">
        <v>4431</v>
      </c>
      <c r="E1122" s="1854" t="s">
        <v>4432</v>
      </c>
      <c r="F1122" s="1854" t="s">
        <v>2844</v>
      </c>
      <c r="G1122" s="1854" t="s">
        <v>22</v>
      </c>
      <c r="H1122" s="1854" t="s">
        <v>22</v>
      </c>
      <c r="I1122" s="1854" t="s">
        <v>1925</v>
      </c>
    </row>
    <row customHeight="1" ht="11.25">
      <c r="A1123" s="1854" t="s">
        <v>2542</v>
      </c>
      <c r="B1123" s="1854" t="s">
        <v>16</v>
      </c>
      <c r="C1123" s="1854" t="s">
        <v>4433</v>
      </c>
      <c r="D1123" s="1854" t="s">
        <v>4434</v>
      </c>
      <c r="E1123" s="1854" t="s">
        <v>4435</v>
      </c>
      <c r="F1123" s="1854" t="s">
        <v>2550</v>
      </c>
      <c r="G1123" s="1854" t="s">
        <v>22</v>
      </c>
      <c r="H1123" s="1854" t="s">
        <v>22</v>
      </c>
      <c r="I1123" s="1854" t="s">
        <v>1925</v>
      </c>
    </row>
    <row customHeight="1" ht="11.25">
      <c r="A1124" s="1854" t="s">
        <v>2542</v>
      </c>
      <c r="B1124" s="1854" t="s">
        <v>16</v>
      </c>
      <c r="C1124" s="1854" t="s">
        <v>4436</v>
      </c>
      <c r="D1124" s="1854" t="s">
        <v>4437</v>
      </c>
      <c r="E1124" s="1854" t="s">
        <v>4435</v>
      </c>
      <c r="F1124" s="1854" t="s">
        <v>4438</v>
      </c>
      <c r="G1124" s="1854" t="s">
        <v>22</v>
      </c>
      <c r="H1124" s="1854" t="s">
        <v>22</v>
      </c>
      <c r="I1124" s="1854" t="s">
        <v>1925</v>
      </c>
    </row>
    <row customHeight="1" ht="11.25">
      <c r="A1125" s="1854" t="s">
        <v>2542</v>
      </c>
      <c r="B1125" s="1854" t="s">
        <v>16</v>
      </c>
      <c r="C1125" s="1854" t="s">
        <v>4439</v>
      </c>
      <c r="D1125" s="1854" t="s">
        <v>4440</v>
      </c>
      <c r="E1125" s="1854" t="s">
        <v>4441</v>
      </c>
      <c r="F1125" s="1854" t="s">
        <v>3256</v>
      </c>
      <c r="G1125" s="1854" t="s">
        <v>22</v>
      </c>
      <c r="H1125" s="1854" t="s">
        <v>22</v>
      </c>
      <c r="I1125" s="1854" t="s">
        <v>1925</v>
      </c>
    </row>
    <row customHeight="1" ht="11.25">
      <c r="A1126" s="1854" t="s">
        <v>2542</v>
      </c>
      <c r="B1126" s="1854" t="s">
        <v>16</v>
      </c>
      <c r="C1126" s="1854" t="s">
        <v>4442</v>
      </c>
      <c r="D1126" s="1854" t="s">
        <v>4443</v>
      </c>
      <c r="E1126" s="1854" t="s">
        <v>4444</v>
      </c>
      <c r="F1126" s="1854" t="s">
        <v>2844</v>
      </c>
      <c r="G1126" s="1854" t="s">
        <v>22</v>
      </c>
      <c r="H1126" s="1854" t="s">
        <v>22</v>
      </c>
      <c r="I1126" s="1854" t="s">
        <v>1925</v>
      </c>
    </row>
    <row customHeight="1" ht="11.25">
      <c r="A1127" s="1854" t="s">
        <v>2542</v>
      </c>
      <c r="B1127" s="1854" t="s">
        <v>16</v>
      </c>
      <c r="C1127" s="1854" t="s">
        <v>4445</v>
      </c>
      <c r="D1127" s="1854" t="s">
        <v>4446</v>
      </c>
      <c r="E1127" s="1854" t="s">
        <v>4447</v>
      </c>
      <c r="F1127" s="1854" t="s">
        <v>2844</v>
      </c>
      <c r="G1127" s="1854" t="s">
        <v>22</v>
      </c>
      <c r="H1127" s="1854" t="s">
        <v>22</v>
      </c>
      <c r="I1127" s="1854" t="s">
        <v>1925</v>
      </c>
    </row>
    <row customHeight="1" ht="11.25">
      <c r="A1128" s="1854" t="s">
        <v>2542</v>
      </c>
      <c r="B1128" s="1854" t="s">
        <v>16</v>
      </c>
      <c r="C1128" s="1854" t="s">
        <v>4448</v>
      </c>
      <c r="D1128" s="1854" t="s">
        <v>4449</v>
      </c>
      <c r="E1128" s="1854" t="s">
        <v>4450</v>
      </c>
      <c r="F1128" s="1854" t="s">
        <v>2665</v>
      </c>
      <c r="G1128" s="1854" t="s">
        <v>22</v>
      </c>
      <c r="H1128" s="1854" t="s">
        <v>22</v>
      </c>
      <c r="I1128" s="1854" t="s">
        <v>1925</v>
      </c>
    </row>
    <row customHeight="1" ht="11.25">
      <c r="A1129" s="1854" t="s">
        <v>2542</v>
      </c>
      <c r="B1129" s="1854" t="s">
        <v>16</v>
      </c>
      <c r="C1129" s="1854" t="s">
        <v>4451</v>
      </c>
      <c r="D1129" s="1854" t="s">
        <v>4452</v>
      </c>
      <c r="E1129" s="1854" t="s">
        <v>4453</v>
      </c>
      <c r="F1129" s="1854" t="s">
        <v>2665</v>
      </c>
      <c r="G1129" s="1854" t="s">
        <v>22</v>
      </c>
      <c r="H1129" s="1854" t="s">
        <v>22</v>
      </c>
      <c r="I1129" s="1854" t="s">
        <v>1925</v>
      </c>
    </row>
    <row customHeight="1" ht="11.25">
      <c r="A1130" s="1854" t="s">
        <v>2542</v>
      </c>
      <c r="B1130" s="1854" t="s">
        <v>16</v>
      </c>
      <c r="C1130" s="1854" t="s">
        <v>4454</v>
      </c>
      <c r="D1130" s="1854" t="s">
        <v>4455</v>
      </c>
      <c r="E1130" s="1854" t="s">
        <v>4456</v>
      </c>
      <c r="F1130" s="1854" t="s">
        <v>2550</v>
      </c>
      <c r="G1130" s="1854" t="s">
        <v>22</v>
      </c>
      <c r="H1130" s="1854" t="s">
        <v>22</v>
      </c>
      <c r="I1130" s="1854" t="s">
        <v>1925</v>
      </c>
    </row>
    <row customHeight="1" ht="11.25">
      <c r="A1131" s="1854" t="s">
        <v>2542</v>
      </c>
      <c r="B1131" s="1854" t="s">
        <v>16</v>
      </c>
      <c r="C1131" s="1854" t="s">
        <v>4457</v>
      </c>
      <c r="D1131" s="1854" t="s">
        <v>4458</v>
      </c>
      <c r="E1131" s="1854" t="s">
        <v>4459</v>
      </c>
      <c r="F1131" s="1854" t="s">
        <v>4460</v>
      </c>
      <c r="G1131" s="1854" t="s">
        <v>22</v>
      </c>
      <c r="H1131" s="1854" t="s">
        <v>22</v>
      </c>
      <c r="I1131" s="1854" t="s">
        <v>1925</v>
      </c>
    </row>
    <row customHeight="1" ht="11.25">
      <c r="A1132" s="1854" t="s">
        <v>2542</v>
      </c>
      <c r="B1132" s="1854" t="s">
        <v>16</v>
      </c>
      <c r="C1132" s="1854" t="s">
        <v>4461</v>
      </c>
      <c r="D1132" s="1854" t="s">
        <v>4462</v>
      </c>
      <c r="E1132" s="1854" t="s">
        <v>4463</v>
      </c>
      <c r="F1132" s="1854" t="s">
        <v>4464</v>
      </c>
      <c r="G1132" s="1854" t="s">
        <v>22</v>
      </c>
      <c r="H1132" s="1854" t="s">
        <v>22</v>
      </c>
      <c r="I1132" s="1854" t="s">
        <v>1925</v>
      </c>
    </row>
    <row customHeight="1" ht="11.25">
      <c r="A1133" s="1854" t="s">
        <v>2542</v>
      </c>
      <c r="B1133" s="1854" t="s">
        <v>16</v>
      </c>
      <c r="C1133" s="1854" t="s">
        <v>4465</v>
      </c>
      <c r="D1133" s="1854" t="s">
        <v>4466</v>
      </c>
      <c r="E1133" s="1854" t="s">
        <v>4467</v>
      </c>
      <c r="F1133" s="1854" t="s">
        <v>2620</v>
      </c>
      <c r="G1133" s="1854" t="s">
        <v>4468</v>
      </c>
      <c r="H1133" s="1854" t="s">
        <v>22</v>
      </c>
      <c r="I1133" s="1854" t="s">
        <v>1925</v>
      </c>
    </row>
    <row customHeight="1" ht="11.25">
      <c r="A1134" s="1854" t="s">
        <v>2542</v>
      </c>
      <c r="B1134" s="1854" t="s">
        <v>16</v>
      </c>
      <c r="C1134" s="1854" t="s">
        <v>4469</v>
      </c>
      <c r="D1134" s="1854" t="s">
        <v>4470</v>
      </c>
      <c r="E1134" s="1854" t="s">
        <v>4471</v>
      </c>
      <c r="F1134" s="1854" t="s">
        <v>2550</v>
      </c>
      <c r="G1134" s="1854" t="s">
        <v>22</v>
      </c>
      <c r="H1134" s="1854" t="s">
        <v>22</v>
      </c>
      <c r="I1134" s="1854" t="s">
        <v>1925</v>
      </c>
    </row>
    <row customHeight="1" ht="11.25">
      <c r="A1135" s="1854" t="s">
        <v>2542</v>
      </c>
      <c r="B1135" s="1854" t="s">
        <v>16</v>
      </c>
      <c r="C1135" s="1854" t="s">
        <v>22</v>
      </c>
      <c r="D1135" s="1854" t="s">
        <v>3888</v>
      </c>
      <c r="E1135" s="1854" t="s">
        <v>3889</v>
      </c>
      <c r="F1135" s="1854" t="s">
        <v>2550</v>
      </c>
      <c r="G1135" s="1854" t="s">
        <v>22</v>
      </c>
      <c r="H1135" s="1854" t="s">
        <v>22</v>
      </c>
      <c r="I1135" s="1854" t="s">
        <v>1925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43E0FC-8D2D-FF0D-BBED-2A832AEFC7D6}" mc:Ignorable="x14ac xr xr2 xr3">
  <sheetPr>
    <tabColor rgb="FFFFCC99"/>
  </sheetPr>
  <dimension ref="A1:G52"/>
  <sheetViews>
    <sheetView topLeftCell="A1" showGridLines="0" workbookViewId="0">
      <selection activeCell="A1" sqref="A1"/>
    </sheetView>
  </sheetViews>
  <sheetFormatPr customHeight="1" defaultRowHeight="11.25"/>
  <cols>
    <col min="1" max="1" style="1854" width="9.140625"/>
  </cols>
  <sheetData>
    <row customHeight="1" ht="11.25">
      <c r="A1" s="377" t="s">
        <v>4472</v>
      </c>
      <c r="B1" s="68" t="s">
        <v>4473</v>
      </c>
      <c r="C1" s="68" t="s">
        <v>4474</v>
      </c>
      <c r="D1" s="68" t="s">
        <v>4475</v>
      </c>
      <c r="E1" s="65" t="s">
        <v>4476</v>
      </c>
      <c r="F1" s="65" t="s">
        <v>4477</v>
      </c>
      <c r="G1" s="65" t="s">
        <v>4478</v>
      </c>
    </row>
    <row customHeight="1" ht="11.25">
      <c r="A2" s="377" t="s">
        <v>16</v>
      </c>
      <c r="B2" s="0" t="s">
        <v>4479</v>
      </c>
      <c r="C2" s="0" t="s">
        <v>4480</v>
      </c>
      <c r="D2" s="0" t="s">
        <v>4479</v>
      </c>
      <c r="E2" s="0" t="s">
        <v>4480</v>
      </c>
      <c r="F2" s="0" t="s">
        <v>4481</v>
      </c>
      <c r="G2" s="0" t="s">
        <v>119</v>
      </c>
    </row>
    <row customHeight="1" ht="11.25">
      <c r="A3" s="377" t="s">
        <v>16</v>
      </c>
      <c r="B3" s="0" t="s">
        <v>4482</v>
      </c>
      <c r="C3" s="0" t="s">
        <v>4483</v>
      </c>
      <c r="D3" s="0" t="s">
        <v>4482</v>
      </c>
      <c r="E3" s="0" t="s">
        <v>4483</v>
      </c>
      <c r="F3" s="0" t="s">
        <v>4481</v>
      </c>
      <c r="G3" s="0" t="s">
        <v>103</v>
      </c>
    </row>
    <row customHeight="1" ht="11.25">
      <c r="A4" s="377" t="s">
        <v>16</v>
      </c>
      <c r="B4" s="0" t="s">
        <v>4484</v>
      </c>
      <c r="C4" s="0" t="s">
        <v>4485</v>
      </c>
      <c r="D4" s="0" t="s">
        <v>4484</v>
      </c>
      <c r="E4" s="0" t="s">
        <v>4485</v>
      </c>
      <c r="F4" s="0" t="s">
        <v>4481</v>
      </c>
      <c r="G4" s="0" t="s">
        <v>90</v>
      </c>
    </row>
    <row customHeight="1" ht="11.25">
      <c r="A5" s="377" t="s">
        <v>16</v>
      </c>
      <c r="B5" s="0" t="s">
        <v>4486</v>
      </c>
      <c r="C5" s="0" t="s">
        <v>4487</v>
      </c>
      <c r="D5" s="0" t="s">
        <v>4486</v>
      </c>
      <c r="E5" s="0" t="s">
        <v>4487</v>
      </c>
      <c r="F5" s="0" t="s">
        <v>4481</v>
      </c>
      <c r="G5" s="0" t="s">
        <v>91</v>
      </c>
    </row>
    <row customHeight="1" ht="11.25">
      <c r="A6" s="377" t="s">
        <v>16</v>
      </c>
      <c r="B6" s="0" t="s">
        <v>4488</v>
      </c>
      <c r="C6" s="0" t="s">
        <v>4489</v>
      </c>
      <c r="D6" s="0" t="s">
        <v>4488</v>
      </c>
      <c r="E6" s="0" t="s">
        <v>4489</v>
      </c>
      <c r="F6" s="0" t="s">
        <v>4481</v>
      </c>
      <c r="G6" s="0" t="s">
        <v>120</v>
      </c>
    </row>
    <row customHeight="1" ht="11.25">
      <c r="A7" s="377" t="s">
        <v>16</v>
      </c>
      <c r="B7" s="0" t="s">
        <v>4490</v>
      </c>
      <c r="C7" s="0" t="s">
        <v>4491</v>
      </c>
      <c r="D7" s="0" t="s">
        <v>4490</v>
      </c>
      <c r="E7" s="0" t="s">
        <v>4491</v>
      </c>
      <c r="F7" s="0" t="s">
        <v>4481</v>
      </c>
      <c r="G7" s="0" t="s">
        <v>92</v>
      </c>
    </row>
    <row customHeight="1" ht="11.25">
      <c r="A8" s="377" t="s">
        <v>16</v>
      </c>
      <c r="B8" s="0" t="s">
        <v>4492</v>
      </c>
      <c r="C8" s="0" t="s">
        <v>4493</v>
      </c>
      <c r="D8" s="0" t="s">
        <v>4492</v>
      </c>
      <c r="E8" s="0" t="s">
        <v>4493</v>
      </c>
      <c r="F8" s="0" t="s">
        <v>4481</v>
      </c>
      <c r="G8" s="0" t="s">
        <v>93</v>
      </c>
    </row>
    <row customHeight="1" ht="11.25">
      <c r="A9" s="377" t="s">
        <v>16</v>
      </c>
      <c r="B9" s="0" t="s">
        <v>4494</v>
      </c>
      <c r="C9" s="0" t="s">
        <v>4495</v>
      </c>
      <c r="D9" s="0" t="s">
        <v>4494</v>
      </c>
      <c r="E9" s="0" t="s">
        <v>4495</v>
      </c>
      <c r="F9" s="0" t="s">
        <v>4481</v>
      </c>
      <c r="G9" s="0" t="s">
        <v>121</v>
      </c>
    </row>
    <row customHeight="1" ht="11.25">
      <c r="A10" s="377" t="s">
        <v>16</v>
      </c>
      <c r="B10" s="0" t="s">
        <v>4496</v>
      </c>
      <c r="C10" s="0" t="s">
        <v>4497</v>
      </c>
      <c r="D10" s="0" t="s">
        <v>4496</v>
      </c>
      <c r="E10" s="0" t="s">
        <v>4497</v>
      </c>
      <c r="F10" s="0" t="s">
        <v>4481</v>
      </c>
      <c r="G10" s="0" t="s">
        <v>168</v>
      </c>
    </row>
    <row customHeight="1" ht="11.25">
      <c r="A11" s="377" t="s">
        <v>16</v>
      </c>
      <c r="B11" s="0" t="s">
        <v>4498</v>
      </c>
      <c r="C11" s="0" t="s">
        <v>4499</v>
      </c>
      <c r="D11" s="0" t="s">
        <v>4498</v>
      </c>
      <c r="E11" s="0" t="s">
        <v>4499</v>
      </c>
      <c r="F11" s="0" t="s">
        <v>4481</v>
      </c>
      <c r="G11" s="0" t="s">
        <v>169</v>
      </c>
    </row>
    <row customHeight="1" ht="11.25">
      <c r="A12" s="377" t="s">
        <v>16</v>
      </c>
      <c r="B12" s="0" t="s">
        <v>4500</v>
      </c>
      <c r="C12" s="0" t="s">
        <v>4501</v>
      </c>
      <c r="D12" s="0" t="s">
        <v>4500</v>
      </c>
      <c r="E12" s="0" t="s">
        <v>4501</v>
      </c>
      <c r="F12" s="0" t="s">
        <v>4481</v>
      </c>
      <c r="G12" s="0" t="s">
        <v>170</v>
      </c>
    </row>
    <row customHeight="1" ht="11.25">
      <c r="A13" s="377" t="s">
        <v>16</v>
      </c>
      <c r="B13" s="0" t="s">
        <v>4502</v>
      </c>
      <c r="C13" s="0" t="s">
        <v>4503</v>
      </c>
      <c r="D13" s="0" t="s">
        <v>4502</v>
      </c>
      <c r="E13" s="0" t="s">
        <v>4503</v>
      </c>
      <c r="F13" s="0" t="s">
        <v>4481</v>
      </c>
      <c r="G13" s="0" t="s">
        <v>171</v>
      </c>
    </row>
    <row customHeight="1" ht="11.25">
      <c r="A14" s="377" t="s">
        <v>16</v>
      </c>
      <c r="B14" s="0" t="s">
        <v>4504</v>
      </c>
      <c r="C14" s="0" t="s">
        <v>4505</v>
      </c>
      <c r="D14" s="0" t="s">
        <v>4504</v>
      </c>
      <c r="E14" s="0" t="s">
        <v>4505</v>
      </c>
      <c r="F14" s="0" t="s">
        <v>4506</v>
      </c>
      <c r="G14" s="0" t="s">
        <v>172</v>
      </c>
    </row>
    <row customHeight="1" ht="11.25">
      <c r="A15" s="377" t="s">
        <v>16</v>
      </c>
      <c r="B15" s="0" t="s">
        <v>4507</v>
      </c>
      <c r="C15" s="0" t="s">
        <v>4508</v>
      </c>
      <c r="D15" s="0" t="s">
        <v>4507</v>
      </c>
      <c r="E15" s="0" t="s">
        <v>4508</v>
      </c>
      <c r="F15" s="0" t="s">
        <v>4481</v>
      </c>
      <c r="G15" s="0" t="s">
        <v>173</v>
      </c>
    </row>
    <row customHeight="1" ht="11.25">
      <c r="A16" s="377" t="s">
        <v>16</v>
      </c>
      <c r="B16" s="0" t="s">
        <v>4509</v>
      </c>
      <c r="C16" s="0" t="s">
        <v>4510</v>
      </c>
      <c r="D16" s="0" t="s">
        <v>4509</v>
      </c>
      <c r="E16" s="0" t="s">
        <v>4510</v>
      </c>
      <c r="F16" s="0" t="s">
        <v>4481</v>
      </c>
      <c r="G16" s="0" t="s">
        <v>1769</v>
      </c>
    </row>
    <row customHeight="1" ht="11.25">
      <c r="A17" s="377" t="s">
        <v>16</v>
      </c>
      <c r="B17" s="0" t="s">
        <v>4511</v>
      </c>
      <c r="C17" s="0" t="s">
        <v>4512</v>
      </c>
      <c r="D17" s="0" t="s">
        <v>4511</v>
      </c>
      <c r="E17" s="0" t="s">
        <v>4512</v>
      </c>
      <c r="F17" s="0" t="s">
        <v>4481</v>
      </c>
      <c r="G17" s="0" t="s">
        <v>1775</v>
      </c>
    </row>
    <row customHeight="1" ht="11.25">
      <c r="A18" s="377" t="s">
        <v>16</v>
      </c>
      <c r="B18" s="0" t="s">
        <v>4513</v>
      </c>
      <c r="C18" s="0" t="s">
        <v>4514</v>
      </c>
      <c r="D18" s="0" t="s">
        <v>4513</v>
      </c>
      <c r="E18" s="0" t="s">
        <v>4514</v>
      </c>
      <c r="F18" s="0" t="s">
        <v>4481</v>
      </c>
      <c r="G18" s="0" t="s">
        <v>1787</v>
      </c>
    </row>
    <row customHeight="1" ht="11.25">
      <c r="A19" s="377" t="s">
        <v>16</v>
      </c>
      <c r="B19" s="0" t="s">
        <v>4515</v>
      </c>
      <c r="C19" s="0" t="s">
        <v>4516</v>
      </c>
      <c r="D19" s="0" t="s">
        <v>4515</v>
      </c>
      <c r="E19" s="0" t="s">
        <v>4516</v>
      </c>
      <c r="F19" s="0" t="s">
        <v>4481</v>
      </c>
      <c r="G19" s="0" t="s">
        <v>1801</v>
      </c>
    </row>
    <row customHeight="1" ht="11.25">
      <c r="A20" s="377" t="s">
        <v>16</v>
      </c>
      <c r="B20" s="0" t="s">
        <v>4517</v>
      </c>
      <c r="C20" s="0" t="s">
        <v>4518</v>
      </c>
      <c r="D20" s="0" t="s">
        <v>4517</v>
      </c>
      <c r="E20" s="0" t="s">
        <v>4518</v>
      </c>
      <c r="F20" s="0" t="s">
        <v>4506</v>
      </c>
      <c r="G20" s="0" t="s">
        <v>1813</v>
      </c>
    </row>
    <row customHeight="1" ht="11.25">
      <c r="A21" s="377" t="s">
        <v>16</v>
      </c>
      <c r="B21" s="0" t="s">
        <v>4519</v>
      </c>
      <c r="C21" s="0" t="s">
        <v>4520</v>
      </c>
      <c r="D21" s="0" t="s">
        <v>4519</v>
      </c>
      <c r="E21" s="0" t="s">
        <v>4520</v>
      </c>
      <c r="F21" s="0" t="s">
        <v>4481</v>
      </c>
      <c r="G21" s="0" t="s">
        <v>1822</v>
      </c>
    </row>
    <row customHeight="1" ht="11.25">
      <c r="A22" s="377" t="s">
        <v>16</v>
      </c>
      <c r="B22" s="0" t="s">
        <v>4521</v>
      </c>
      <c r="C22" s="0" t="s">
        <v>4522</v>
      </c>
      <c r="D22" s="0" t="s">
        <v>4521</v>
      </c>
      <c r="E22" s="0" t="s">
        <v>4522</v>
      </c>
      <c r="F22" s="0" t="s">
        <v>4481</v>
      </c>
      <c r="G22" s="0" t="s">
        <v>1838</v>
      </c>
    </row>
    <row customHeight="1" ht="11.25">
      <c r="A23" s="377" t="s">
        <v>16</v>
      </c>
      <c r="B23" s="0" t="s">
        <v>4523</v>
      </c>
      <c r="C23" s="0" t="s">
        <v>4524</v>
      </c>
      <c r="D23" s="0" t="s">
        <v>4523</v>
      </c>
      <c r="E23" s="0" t="s">
        <v>4524</v>
      </c>
      <c r="F23" s="0" t="s">
        <v>4481</v>
      </c>
      <c r="G23" s="0" t="s">
        <v>1845</v>
      </c>
    </row>
    <row customHeight="1" ht="11.25">
      <c r="A24" s="377" t="s">
        <v>16</v>
      </c>
      <c r="B24" s="0" t="s">
        <v>4525</v>
      </c>
      <c r="C24" s="0" t="s">
        <v>4526</v>
      </c>
      <c r="D24" s="0" t="s">
        <v>4525</v>
      </c>
      <c r="E24" s="0" t="s">
        <v>4526</v>
      </c>
      <c r="F24" s="0" t="s">
        <v>4481</v>
      </c>
      <c r="G24" s="0" t="s">
        <v>1853</v>
      </c>
    </row>
    <row customHeight="1" ht="11.25">
      <c r="A25" s="377" t="s">
        <v>16</v>
      </c>
      <c r="B25" s="0" t="s">
        <v>4527</v>
      </c>
      <c r="C25" s="0" t="s">
        <v>4528</v>
      </c>
      <c r="D25" s="0" t="s">
        <v>4527</v>
      </c>
      <c r="E25" s="0" t="s">
        <v>4528</v>
      </c>
      <c r="F25" s="0" t="s">
        <v>4481</v>
      </c>
      <c r="G25" s="0" t="s">
        <v>1860</v>
      </c>
    </row>
    <row customHeight="1" ht="11.25">
      <c r="A26" s="377" t="s">
        <v>16</v>
      </c>
      <c r="B26" s="0" t="s">
        <v>4529</v>
      </c>
      <c r="C26" s="0" t="s">
        <v>4530</v>
      </c>
      <c r="D26" s="0" t="s">
        <v>4529</v>
      </c>
      <c r="E26" s="0" t="s">
        <v>4530</v>
      </c>
      <c r="F26" s="0" t="s">
        <v>4481</v>
      </c>
      <c r="G26" s="0" t="s">
        <v>1864</v>
      </c>
    </row>
    <row customHeight="1" ht="11.25">
      <c r="A27" s="377" t="s">
        <v>16</v>
      </c>
      <c r="B27" s="0" t="s">
        <v>4531</v>
      </c>
      <c r="C27" s="0" t="s">
        <v>4532</v>
      </c>
      <c r="D27" s="0" t="s">
        <v>4531</v>
      </c>
      <c r="E27" s="0" t="s">
        <v>4532</v>
      </c>
      <c r="F27" s="0" t="s">
        <v>4481</v>
      </c>
      <c r="G27" s="0" t="s">
        <v>1869</v>
      </c>
    </row>
    <row customHeight="1" ht="11.25">
      <c r="A28" s="377" t="s">
        <v>16</v>
      </c>
      <c r="B28" s="0" t="s">
        <v>4533</v>
      </c>
      <c r="C28" s="0" t="s">
        <v>4534</v>
      </c>
      <c r="D28" s="0" t="s">
        <v>4533</v>
      </c>
      <c r="E28" s="0" t="s">
        <v>4534</v>
      </c>
      <c r="F28" s="0" t="s">
        <v>4506</v>
      </c>
      <c r="G28" s="0" t="s">
        <v>1877</v>
      </c>
    </row>
    <row customHeight="1" ht="11.25">
      <c r="A29" s="377" t="s">
        <v>16</v>
      </c>
      <c r="B29" s="0" t="s">
        <v>4535</v>
      </c>
      <c r="C29" s="0" t="s">
        <v>4536</v>
      </c>
      <c r="D29" s="0" t="s">
        <v>4535</v>
      </c>
      <c r="E29" s="0" t="s">
        <v>4536</v>
      </c>
      <c r="F29" s="0" t="s">
        <v>4481</v>
      </c>
      <c r="G29" s="0" t="s">
        <v>1879</v>
      </c>
    </row>
    <row customHeight="1" ht="11.25">
      <c r="A30" s="377" t="s">
        <v>16</v>
      </c>
      <c r="B30" s="0" t="s">
        <v>4537</v>
      </c>
      <c r="C30" s="0" t="s">
        <v>4538</v>
      </c>
      <c r="D30" s="0" t="s">
        <v>4537</v>
      </c>
      <c r="E30" s="0" t="s">
        <v>4538</v>
      </c>
      <c r="F30" s="0" t="s">
        <v>4506</v>
      </c>
      <c r="G30" s="0" t="s">
        <v>1882</v>
      </c>
    </row>
    <row customHeight="1" ht="11.25">
      <c r="A31" s="377" t="s">
        <v>16</v>
      </c>
      <c r="B31" s="0" t="s">
        <v>4539</v>
      </c>
      <c r="C31" s="0" t="s">
        <v>4540</v>
      </c>
      <c r="D31" s="0" t="s">
        <v>4539</v>
      </c>
      <c r="E31" s="0" t="s">
        <v>4540</v>
      </c>
      <c r="F31" s="0" t="s">
        <v>4481</v>
      </c>
      <c r="G31" s="0" t="s">
        <v>1888</v>
      </c>
    </row>
    <row customHeight="1" ht="11.25">
      <c r="A32" s="377" t="s">
        <v>16</v>
      </c>
      <c r="B32" s="0" t="s">
        <v>4541</v>
      </c>
      <c r="C32" s="0" t="s">
        <v>4542</v>
      </c>
      <c r="D32" s="0" t="s">
        <v>4541</v>
      </c>
      <c r="E32" s="0" t="s">
        <v>4542</v>
      </c>
      <c r="F32" s="0" t="s">
        <v>4481</v>
      </c>
      <c r="G32" s="0" t="s">
        <v>1890</v>
      </c>
    </row>
    <row customHeight="1" ht="11.25">
      <c r="A33" s="377" t="s">
        <v>16</v>
      </c>
      <c r="B33" s="0" t="s">
        <v>4543</v>
      </c>
      <c r="C33" s="0" t="s">
        <v>4544</v>
      </c>
      <c r="D33" s="0" t="s">
        <v>4543</v>
      </c>
      <c r="E33" s="0" t="s">
        <v>4544</v>
      </c>
      <c r="F33" s="0" t="s">
        <v>4506</v>
      </c>
      <c r="G33" s="0" t="s">
        <v>1892</v>
      </c>
    </row>
    <row customHeight="1" ht="11.25">
      <c r="A34" s="377" t="s">
        <v>16</v>
      </c>
      <c r="B34" s="0" t="s">
        <v>4545</v>
      </c>
      <c r="C34" s="0" t="s">
        <v>4546</v>
      </c>
      <c r="D34" s="0" t="s">
        <v>4545</v>
      </c>
      <c r="E34" s="0" t="s">
        <v>4546</v>
      </c>
      <c r="F34" s="0" t="s">
        <v>4481</v>
      </c>
      <c r="G34" s="0" t="s">
        <v>1894</v>
      </c>
    </row>
    <row customHeight="1" ht="11.25">
      <c r="A35" s="377" t="s">
        <v>16</v>
      </c>
      <c r="B35" s="0" t="s">
        <v>4547</v>
      </c>
      <c r="C35" s="0" t="s">
        <v>4548</v>
      </c>
      <c r="D35" s="0" t="s">
        <v>4547</v>
      </c>
      <c r="E35" s="0" t="s">
        <v>4548</v>
      </c>
      <c r="F35" s="0" t="s">
        <v>4481</v>
      </c>
      <c r="G35" s="0" t="s">
        <v>1899</v>
      </c>
    </row>
    <row customHeight="1" ht="11.25">
      <c r="A36" s="377" t="s">
        <v>16</v>
      </c>
      <c r="B36" s="0" t="s">
        <v>4549</v>
      </c>
      <c r="C36" s="0" t="s">
        <v>4550</v>
      </c>
      <c r="D36" s="0" t="s">
        <v>4549</v>
      </c>
      <c r="E36" s="0" t="s">
        <v>4550</v>
      </c>
      <c r="F36" s="0" t="s">
        <v>4506</v>
      </c>
      <c r="G36" s="0" t="s">
        <v>1904</v>
      </c>
    </row>
    <row customHeight="1" ht="11.25">
      <c r="A37" s="377" t="s">
        <v>16</v>
      </c>
      <c r="B37" s="0" t="s">
        <v>4551</v>
      </c>
      <c r="C37" s="0" t="s">
        <v>4552</v>
      </c>
      <c r="D37" s="0" t="s">
        <v>4551</v>
      </c>
      <c r="E37" s="0" t="s">
        <v>4552</v>
      </c>
      <c r="F37" s="0" t="s">
        <v>4481</v>
      </c>
      <c r="G37" s="0" t="s">
        <v>1908</v>
      </c>
    </row>
    <row customHeight="1" ht="11.25">
      <c r="A38" s="377" t="s">
        <v>16</v>
      </c>
      <c r="B38" s="0" t="s">
        <v>4553</v>
      </c>
      <c r="C38" s="0" t="s">
        <v>4554</v>
      </c>
      <c r="D38" s="0" t="s">
        <v>4553</v>
      </c>
      <c r="E38" s="0" t="s">
        <v>4554</v>
      </c>
      <c r="F38" s="0" t="s">
        <v>4481</v>
      </c>
      <c r="G38" s="0" t="s">
        <v>1916</v>
      </c>
    </row>
    <row customHeight="1" ht="11.25">
      <c r="A39" s="377" t="s">
        <v>16</v>
      </c>
      <c r="B39" s="0" t="s">
        <v>4555</v>
      </c>
      <c r="C39" s="0" t="s">
        <v>4556</v>
      </c>
      <c r="D39" s="0" t="s">
        <v>4555</v>
      </c>
      <c r="E39" s="0" t="s">
        <v>4556</v>
      </c>
      <c r="F39" s="0" t="s">
        <v>4481</v>
      </c>
      <c r="G39" s="0" t="s">
        <v>1922</v>
      </c>
    </row>
    <row customHeight="1" ht="11.25">
      <c r="A40" s="377" t="s">
        <v>16</v>
      </c>
      <c r="B40" s="0" t="s">
        <v>4557</v>
      </c>
      <c r="C40" s="0" t="s">
        <v>4558</v>
      </c>
      <c r="D40" s="0" t="s">
        <v>4557</v>
      </c>
      <c r="E40" s="0" t="s">
        <v>4558</v>
      </c>
      <c r="F40" s="0" t="s">
        <v>4481</v>
      </c>
      <c r="G40" s="0" t="s">
        <v>1926</v>
      </c>
    </row>
    <row customHeight="1" ht="11.25">
      <c r="A41" s="377" t="s">
        <v>16</v>
      </c>
      <c r="B41" s="0" t="s">
        <v>4559</v>
      </c>
      <c r="C41" s="0" t="s">
        <v>4560</v>
      </c>
      <c r="D41" s="0" t="s">
        <v>4559</v>
      </c>
      <c r="E41" s="0" t="s">
        <v>4560</v>
      </c>
      <c r="F41" s="0" t="s">
        <v>4481</v>
      </c>
      <c r="G41" s="0" t="s">
        <v>1930</v>
      </c>
    </row>
    <row customHeight="1" ht="11.25">
      <c r="A42" s="377" t="s">
        <v>16</v>
      </c>
      <c r="B42" s="0" t="s">
        <v>4561</v>
      </c>
      <c r="C42" s="0" t="s">
        <v>4562</v>
      </c>
      <c r="D42" s="0" t="s">
        <v>4561</v>
      </c>
      <c r="E42" s="0" t="s">
        <v>4562</v>
      </c>
      <c r="F42" s="0" t="s">
        <v>4481</v>
      </c>
      <c r="G42" s="0" t="s">
        <v>1933</v>
      </c>
    </row>
    <row customHeight="1" ht="11.25">
      <c r="A43" s="377" t="s">
        <v>16</v>
      </c>
      <c r="B43" s="0" t="s">
        <v>4563</v>
      </c>
      <c r="C43" s="0" t="s">
        <v>4564</v>
      </c>
      <c r="D43" s="0" t="s">
        <v>4563</v>
      </c>
      <c r="E43" s="0" t="s">
        <v>4564</v>
      </c>
      <c r="F43" s="0" t="s">
        <v>4481</v>
      </c>
      <c r="G43" s="0" t="s">
        <v>1940</v>
      </c>
    </row>
    <row customHeight="1" ht="11.25">
      <c r="A44" s="377" t="s">
        <v>16</v>
      </c>
      <c r="B44" s="0" t="s">
        <v>107</v>
      </c>
      <c r="C44" s="0" t="s">
        <v>108</v>
      </c>
      <c r="D44" s="0" t="s">
        <v>107</v>
      </c>
      <c r="E44" s="0" t="s">
        <v>108</v>
      </c>
      <c r="F44" s="0" t="s">
        <v>4506</v>
      </c>
      <c r="G44" s="0" t="s">
        <v>106</v>
      </c>
    </row>
    <row customHeight="1" ht="11.25">
      <c r="A45" s="377" t="s">
        <v>16</v>
      </c>
      <c r="B45" s="0" t="s">
        <v>4565</v>
      </c>
      <c r="C45" s="0" t="s">
        <v>4566</v>
      </c>
      <c r="D45" s="0" t="s">
        <v>4565</v>
      </c>
      <c r="E45" s="0" t="s">
        <v>4566</v>
      </c>
      <c r="F45" s="0" t="s">
        <v>4506</v>
      </c>
      <c r="G45" s="0" t="s">
        <v>1953</v>
      </c>
    </row>
    <row customHeight="1" ht="11.25">
      <c r="A46" s="377" t="s">
        <v>16</v>
      </c>
      <c r="B46" s="0" t="s">
        <v>4567</v>
      </c>
      <c r="C46" s="0" t="s">
        <v>4568</v>
      </c>
      <c r="D46" s="0" t="s">
        <v>4567</v>
      </c>
      <c r="E46" s="0" t="s">
        <v>4568</v>
      </c>
      <c r="F46" s="0" t="s">
        <v>4506</v>
      </c>
      <c r="G46" s="0" t="s">
        <v>1957</v>
      </c>
    </row>
    <row customHeight="1" ht="11.25">
      <c r="A47" s="377" t="s">
        <v>16</v>
      </c>
      <c r="B47" s="0" t="s">
        <v>4569</v>
      </c>
      <c r="C47" s="0" t="s">
        <v>4570</v>
      </c>
      <c r="D47" s="0" t="s">
        <v>4569</v>
      </c>
      <c r="E47" s="0" t="s">
        <v>4570</v>
      </c>
      <c r="F47" s="0" t="s">
        <v>4506</v>
      </c>
      <c r="G47" s="0" t="s">
        <v>1962</v>
      </c>
    </row>
    <row customHeight="1" ht="11.25">
      <c r="A48" s="377" t="s">
        <v>16</v>
      </c>
      <c r="B48" s="0" t="s">
        <v>4571</v>
      </c>
      <c r="C48" s="0" t="s">
        <v>4572</v>
      </c>
      <c r="D48" s="0" t="s">
        <v>4571</v>
      </c>
      <c r="E48" s="0" t="s">
        <v>4572</v>
      </c>
      <c r="F48" s="0" t="s">
        <v>4506</v>
      </c>
      <c r="G48" s="0" t="s">
        <v>1967</v>
      </c>
    </row>
    <row customHeight="1" ht="11.25">
      <c r="A49" s="377" t="s">
        <v>16</v>
      </c>
      <c r="B49" s="0" t="s">
        <v>100</v>
      </c>
      <c r="C49" s="0" t="s">
        <v>101</v>
      </c>
      <c r="D49" s="0" t="s">
        <v>100</v>
      </c>
      <c r="E49" s="0" t="s">
        <v>101</v>
      </c>
      <c r="F49" s="0" t="s">
        <v>4506</v>
      </c>
      <c r="G49" s="0" t="s">
        <v>99</v>
      </c>
    </row>
    <row customHeight="1" ht="11.25">
      <c r="A50" s="377" t="s">
        <v>16</v>
      </c>
      <c r="B50" s="0" t="s">
        <v>4573</v>
      </c>
      <c r="C50" s="0" t="s">
        <v>4574</v>
      </c>
      <c r="D50" s="0" t="s">
        <v>4573</v>
      </c>
      <c r="E50" s="0" t="s">
        <v>4574</v>
      </c>
      <c r="F50" s="0" t="s">
        <v>4506</v>
      </c>
      <c r="G50" s="0" t="s">
        <v>1973</v>
      </c>
    </row>
    <row customHeight="1" ht="11.25">
      <c r="A51" s="377" t="s">
        <v>16</v>
      </c>
      <c r="B51" s="0" t="s">
        <v>111</v>
      </c>
      <c r="C51" s="0" t="s">
        <v>112</v>
      </c>
      <c r="D51" s="0" t="s">
        <v>111</v>
      </c>
      <c r="E51" s="0" t="s">
        <v>112</v>
      </c>
      <c r="F51" s="0" t="s">
        <v>4506</v>
      </c>
      <c r="G51" s="0" t="s">
        <v>110</v>
      </c>
    </row>
    <row customHeight="1" ht="11.25">
      <c r="A52" s="377" t="s">
        <v>16</v>
      </c>
      <c r="B52" s="0" t="s">
        <v>4575</v>
      </c>
      <c r="C52" s="0" t="s">
        <v>4576</v>
      </c>
      <c r="D52" s="0" t="s">
        <v>4575</v>
      </c>
      <c r="E52" s="0" t="s">
        <v>4576</v>
      </c>
      <c r="F52" s="0" t="s">
        <v>4506</v>
      </c>
      <c r="G52" s="0" t="s">
        <v>1981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3AA06E-6EC8-E8F1-92A4-4BAE71EAD08E}" mc:Ignorable="x14ac xr xr2 xr3">
  <sheetPr>
    <tabColor rgb="FFFFCC99"/>
  </sheetPr>
  <dimension ref="A1:I5"/>
  <sheetViews>
    <sheetView topLeftCell="A1" showGridLines="0" workbookViewId="0">
      <selection activeCell="A1" sqref="A1"/>
    </sheetView>
  </sheetViews>
  <sheetFormatPr defaultColWidth="9.140625" customHeight="1" defaultRowHeight="11.25"/>
  <cols>
    <col min="1" max="1" style="1695" width="13.8515625" customWidth="1"/>
    <col min="2" max="2" style="1695" width="10.421875" customWidth="1"/>
    <col min="3" max="3" style="1695" width="7.57421875" customWidth="1"/>
    <col min="4" max="4" style="1695" width="13.8515625" customWidth="1"/>
    <col min="5" max="5" style="1695" width="11.57421875" customWidth="1"/>
    <col min="6" max="6" style="1695" width="16.28125" customWidth="1"/>
    <col min="7" max="7" style="1695" width="16.00390625" customWidth="1"/>
    <col min="8" max="9" style="1695" width="16.140625" customWidth="1"/>
  </cols>
  <sheetData>
    <row customHeight="1" ht="11.25">
      <c r="A1" s="839" t="s">
        <v>4577</v>
      </c>
      <c r="B1" s="839" t="s">
        <v>4578</v>
      </c>
      <c r="C1" s="1163" t="s">
        <v>4579</v>
      </c>
      <c r="D1" s="839" t="s">
        <v>4580</v>
      </c>
      <c r="E1" s="839" t="s">
        <v>4581</v>
      </c>
      <c r="F1" s="1163" t="s">
        <v>4582</v>
      </c>
      <c r="G1" s="1163" t="s">
        <v>4583</v>
      </c>
      <c r="H1" s="1163" t="s">
        <v>4584</v>
      </c>
      <c r="I1" s="1163" t="s">
        <v>4585</v>
      </c>
    </row>
    <row customHeight="1" ht="11.25">
      <c r="A2" s="1695" t="s">
        <v>119</v>
      </c>
      <c r="B2" s="1695" t="s">
        <v>1249</v>
      </c>
      <c r="C2" s="1695" t="s">
        <v>4586</v>
      </c>
      <c r="D2" s="1695" t="s">
        <v>1253</v>
      </c>
      <c r="E2" s="1695" t="s">
        <v>1254</v>
      </c>
      <c r="F2" s="1695" t="s">
        <v>1255</v>
      </c>
      <c r="G2" s="1695" t="s">
        <v>1256</v>
      </c>
      <c r="H2" s="1695" t="s">
        <v>1257</v>
      </c>
      <c r="I2" s="1695" t="s">
        <v>1258</v>
      </c>
    </row>
    <row customHeight="1" ht="11.25">
      <c r="A3" s="1695" t="s">
        <v>103</v>
      </c>
      <c r="B3" s="1695" t="s">
        <v>1249</v>
      </c>
      <c r="C3" s="1695" t="s">
        <v>4586</v>
      </c>
      <c r="D3" s="1695" t="s">
        <v>1253</v>
      </c>
      <c r="E3" s="1695" t="s">
        <v>1254</v>
      </c>
      <c r="F3" s="1695" t="s">
        <v>4587</v>
      </c>
      <c r="G3" s="1695" t="s">
        <v>1256</v>
      </c>
      <c r="H3" s="1695" t="s">
        <v>1257</v>
      </c>
      <c r="I3" s="1695" t="s">
        <v>1258</v>
      </c>
    </row>
    <row customHeight="1" ht="11.25">
      <c r="A4" s="1695" t="s">
        <v>90</v>
      </c>
      <c r="B4" s="1695" t="s">
        <v>1263</v>
      </c>
      <c r="C4" s="1695" t="s">
        <v>4588</v>
      </c>
      <c r="D4" s="1695" t="s">
        <v>1265</v>
      </c>
      <c r="E4" s="1695" t="s">
        <v>1266</v>
      </c>
      <c r="F4" s="1695" t="s">
        <v>1267</v>
      </c>
      <c r="G4" s="1695" t="s">
        <v>1256</v>
      </c>
      <c r="H4" s="1695" t="s">
        <v>1268</v>
      </c>
      <c r="I4" s="1695" t="s">
        <v>1265</v>
      </c>
    </row>
    <row customHeight="1" ht="11.25">
      <c r="A5" s="1695" t="s">
        <v>91</v>
      </c>
      <c r="B5" s="1695" t="s">
        <v>1263</v>
      </c>
      <c r="C5" s="1695" t="s">
        <v>4588</v>
      </c>
      <c r="D5" s="1695" t="s">
        <v>1265</v>
      </c>
      <c r="E5" s="1695" t="s">
        <v>1266</v>
      </c>
      <c r="F5" s="1695" t="s">
        <v>1267</v>
      </c>
      <c r="G5" s="1695" t="s">
        <v>1256</v>
      </c>
      <c r="H5" s="1695" t="s">
        <v>1268</v>
      </c>
      <c r="I5" s="1695" t="s">
        <v>1265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3458BC-261D-A604-B778-7136961FED2C}"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7A76FA-9239-DE5D-D2B3-6491BF87B03D}"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48.00390625" customWidth="1"/>
    <col min="6" max="6" style="1639" width="38.00390625" customWidth="1"/>
    <col min="7" max="7" style="1639" width="1.7109375" hidden="1" customWidth="1"/>
    <col min="8" max="11" style="1639" width="19.8515625" customWidth="1"/>
    <col min="12" max="12" style="1639" width="9.7109375" customWidth="1"/>
    <col min="13" max="18" style="1639" width="19.8515625" customWidth="1"/>
    <col min="19" max="19" style="1639" width="1.7109375" hidden="1" customWidth="1"/>
    <col min="20" max="22" style="1639" width="19.8515625" hidden="1" customWidth="1"/>
    <col min="23" max="23" style="1639" width="1.7109375" hidden="1" customWidth="1"/>
    <col min="24" max="26" style="1639" width="19.8515625" hidden="1" customWidth="1"/>
    <col min="27" max="27" style="1639" width="1.7109375" hidden="1" customWidth="1"/>
    <col min="28" max="29" style="1639" width="19.8515625" hidden="1" customWidth="1"/>
    <col min="30" max="30" style="1639" width="1.7109375" hidden="1" customWidth="1"/>
    <col min="31" max="31" style="1639" width="103.7109375" customWidth="1"/>
    <col min="32" max="34" style="1639" width="103.7109375" hidden="1" customWidth="1"/>
    <col min="35" max="35" style="1823" width="3.00390625" customWidth="1"/>
    <col min="36" max="38" style="1646" width="10.00390625" customWidth="1"/>
    <col min="39" max="39" style="1646" width="13.7109375" hidden="1" customWidth="1"/>
    <col min="40" max="40" style="1646" width="15.00390625" customWidth="1"/>
    <col min="41" max="41" style="1646" width="16.00390625" customWidth="1"/>
    <col min="42" max="45" style="1646" width="10.00390625" customWidth="1"/>
    <col min="46" max="46" style="1639" width="10.57421875" hidden="1"/>
  </cols>
  <sheetData>
    <row customHeight="1" ht="22.5" hidden="1">
      <c r="E1" s="416"/>
      <c r="F1" s="416"/>
      <c r="G1" s="416"/>
      <c r="H1" s="2221" t="s">
        <v>370</v>
      </c>
      <c r="I1" s="2221"/>
      <c r="J1" s="2221"/>
      <c r="K1" s="2221"/>
      <c r="L1" s="2221"/>
      <c r="M1" s="2221"/>
      <c r="N1" s="2221"/>
      <c r="O1" s="2221"/>
      <c r="P1" s="2221"/>
      <c r="Q1" s="2221"/>
      <c r="R1" s="2221"/>
      <c r="T1" s="2221" t="s">
        <v>371</v>
      </c>
      <c r="U1" s="2221"/>
      <c r="V1" s="2221"/>
      <c r="X1" s="2221" t="s">
        <v>372</v>
      </c>
      <c r="Y1" s="2221"/>
      <c r="Z1" s="2221"/>
      <c r="AB1" s="2221" t="s">
        <v>373</v>
      </c>
      <c r="AC1" s="2221"/>
      <c r="AT1" s="451" t="s">
        <v>14</v>
      </c>
    </row>
    <row customHeight="1" ht="14.25" hidden="1">
      <c r="AT2" s="451">
        <v>0</v>
      </c>
    </row>
    <row s="1617" customFormat="1" customHeight="1" ht="5.25">
      <c r="C3" s="705"/>
      <c r="D3" s="706"/>
      <c r="E3" s="706"/>
      <c r="F3" s="706"/>
      <c r="G3" s="706"/>
      <c r="H3" s="706" t="s">
        <v>374</v>
      </c>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J3" s="515"/>
      <c r="AK3" s="515"/>
      <c r="AL3" s="515"/>
      <c r="AM3" s="515"/>
      <c r="AN3" s="515"/>
      <c r="AO3" s="515"/>
      <c r="AP3" s="515"/>
      <c r="AQ3" s="515"/>
      <c r="AR3" s="515"/>
      <c r="AS3" s="515"/>
      <c r="AT3" s="704">
        <v>5</v>
      </c>
    </row>
    <row customHeight="1" ht="39.75">
      <c r="C4" s="454"/>
      <c r="D4" s="216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2"/>
      <c r="F4" s="2162"/>
      <c r="G4" s="2162"/>
      <c r="H4" s="2162"/>
      <c r="I4" s="2162"/>
      <c r="J4" s="2162"/>
      <c r="K4" s="2162"/>
      <c r="L4" s="2162"/>
      <c r="M4" s="2162"/>
      <c r="N4" s="2162"/>
      <c r="O4" s="2162"/>
      <c r="P4" s="2162"/>
      <c r="Q4" s="2162"/>
      <c r="R4" s="2163"/>
      <c r="S4" s="857"/>
      <c r="T4" s="703"/>
      <c r="U4" s="703"/>
      <c r="V4" s="703"/>
      <c r="W4" s="703"/>
      <c r="X4" s="703"/>
      <c r="Y4" s="703"/>
      <c r="Z4" s="703"/>
      <c r="AA4" s="703"/>
      <c r="AB4" s="703"/>
      <c r="AC4" s="703"/>
      <c r="AD4" s="703"/>
      <c r="AE4" s="495"/>
      <c r="AF4" s="495"/>
      <c r="AG4" s="495"/>
      <c r="AH4" s="495"/>
      <c r="AI4" s="492"/>
      <c r="AT4" s="451">
        <v>38</v>
      </c>
    </row>
    <row s="1639" customFormat="1" customHeight="1" ht="18">
      <c r="A5" s="763"/>
      <c r="C5" s="826"/>
      <c r="D5" s="2218" t="str">
        <f>IF(org=0,"Не определено",org)</f>
        <v>АО "Теплоэнерго"</v>
      </c>
      <c r="E5" s="2219"/>
      <c r="F5" s="2219"/>
      <c r="G5" s="2219"/>
      <c r="H5" s="2219"/>
      <c r="I5" s="2219"/>
      <c r="J5" s="2219"/>
      <c r="K5" s="2219"/>
      <c r="L5" s="2219"/>
      <c r="M5" s="2219"/>
      <c r="N5" s="2219"/>
      <c r="O5" s="2219"/>
      <c r="P5" s="2219"/>
      <c r="Q5" s="2219"/>
      <c r="R5" s="2220"/>
      <c r="S5" s="857"/>
      <c r="T5" s="703"/>
      <c r="U5" s="703"/>
      <c r="V5" s="703"/>
      <c r="W5" s="703"/>
      <c r="X5" s="703"/>
      <c r="Y5" s="703"/>
      <c r="Z5" s="703"/>
      <c r="AA5" s="703"/>
      <c r="AB5" s="703"/>
      <c r="AC5" s="703"/>
      <c r="AD5" s="703"/>
      <c r="AE5" s="495"/>
      <c r="AF5" s="495"/>
      <c r="AG5" s="495"/>
      <c r="AH5" s="495"/>
      <c r="AI5" s="492"/>
      <c r="AJ5" s="515"/>
      <c r="AK5" s="515"/>
      <c r="AL5" s="515"/>
      <c r="AM5" s="515"/>
      <c r="AN5" s="515"/>
      <c r="AO5" s="515"/>
      <c r="AP5" s="515"/>
      <c r="AQ5" s="515"/>
      <c r="AR5" s="515"/>
      <c r="AS5" s="515"/>
      <c r="AT5" s="762">
        <v>17</v>
      </c>
    </row>
    <row s="1616" customFormat="1" customHeight="1" ht="11.549999999999999">
      <c r="A6" s="483"/>
      <c r="C6" s="490"/>
      <c r="D6" s="489"/>
      <c r="E6" s="489"/>
      <c r="F6" s="489"/>
      <c r="G6" s="489"/>
      <c r="H6" s="489"/>
      <c r="I6" s="489"/>
      <c r="J6" s="489"/>
      <c r="K6" s="489"/>
      <c r="L6" s="489"/>
      <c r="M6" s="489"/>
      <c r="N6" s="489"/>
      <c r="O6" s="489"/>
      <c r="P6" s="489"/>
      <c r="Q6" s="489"/>
      <c r="R6" s="756"/>
      <c r="S6" s="756"/>
      <c r="T6" s="489"/>
      <c r="U6" s="489"/>
      <c r="V6" s="716"/>
      <c r="W6" s="716"/>
      <c r="X6" s="489"/>
      <c r="Y6" s="489"/>
      <c r="Z6" s="716"/>
      <c r="AA6" s="716"/>
      <c r="AB6" s="489"/>
      <c r="AC6" s="716"/>
      <c r="AD6" s="716"/>
      <c r="AE6" s="489"/>
      <c r="AF6" s="489"/>
      <c r="AG6" s="489"/>
      <c r="AH6" s="489"/>
      <c r="AJ6" s="493"/>
      <c r="AK6" s="493"/>
      <c r="AL6" s="493"/>
      <c r="AM6" s="493"/>
      <c r="AN6" s="493"/>
      <c r="AO6" s="493"/>
      <c r="AP6" s="493"/>
      <c r="AQ6" s="493"/>
      <c r="AR6" s="493"/>
      <c r="AS6" s="493"/>
      <c r="AT6" s="484">
        <v>11</v>
      </c>
    </row>
    <row customHeight="1" ht="14.699999999999998">
      <c r="C7" s="454"/>
      <c r="D7" s="2222" t="s">
        <v>318</v>
      </c>
      <c r="E7" s="2223"/>
      <c r="F7" s="2223"/>
      <c r="G7" s="2223"/>
      <c r="H7" s="2223"/>
      <c r="I7" s="2223"/>
      <c r="J7" s="2223"/>
      <c r="K7" s="2223"/>
      <c r="L7" s="2223"/>
      <c r="M7" s="2223"/>
      <c r="N7" s="2223"/>
      <c r="O7" s="2223"/>
      <c r="P7" s="2223"/>
      <c r="Q7" s="2223"/>
      <c r="R7" s="2223"/>
      <c r="S7" s="2223"/>
      <c r="T7" s="2223"/>
      <c r="U7" s="2223"/>
      <c r="V7" s="2223"/>
      <c r="W7" s="2223"/>
      <c r="X7" s="2223"/>
      <c r="Y7" s="2223"/>
      <c r="Z7" s="2223"/>
      <c r="AA7" s="2223"/>
      <c r="AB7" s="2223"/>
      <c r="AC7" s="2223"/>
      <c r="AD7" s="2224"/>
      <c r="AE7" s="2227" t="s">
        <v>319</v>
      </c>
      <c r="AF7" s="2227" t="s">
        <v>319</v>
      </c>
      <c r="AG7" s="2227" t="s">
        <v>319</v>
      </c>
      <c r="AH7" s="2227" t="s">
        <v>319</v>
      </c>
      <c r="AT7" s="451">
        <v>14</v>
      </c>
    </row>
    <row customHeight="1" ht="27.299999999999997">
      <c r="C8" s="454"/>
      <c r="D8" s="2131" t="s">
        <v>88</v>
      </c>
      <c r="E8" s="2227" t="str">
        <f>"Наименование "&amp;IF(TEMPLATE_SPHERE&lt;&gt;"HEAT","централизованной ","")&amp;"системы "&amp;TEMPLATE_SPHERE_RUS</f>
        <v>Наименование системы теплоснабжения</v>
      </c>
      <c r="F8" s="2227" t="str">
        <f>IF(TEMPLATE_SPHERE&lt;&gt;"HEAT","Регулируемый вид деятельности","Вид регулируемой деятельности")</f>
        <v>Вид регулируемой деятельности</v>
      </c>
      <c r="G8" s="832"/>
      <c r="H8" s="2228" t="s">
        <v>375</v>
      </c>
      <c r="I8" s="2230" t="s">
        <v>376</v>
      </c>
      <c r="J8" s="2227" t="s">
        <v>377</v>
      </c>
      <c r="K8" s="2227"/>
      <c r="L8" s="2227"/>
      <c r="M8" s="2222"/>
      <c r="N8" s="2227" t="s">
        <v>378</v>
      </c>
      <c r="O8" s="2227"/>
      <c r="P8" s="2227" t="s">
        <v>379</v>
      </c>
      <c r="Q8" s="2227"/>
      <c r="R8" s="2234" t="s">
        <v>380</v>
      </c>
      <c r="S8" s="828"/>
      <c r="T8" s="2232" t="s">
        <v>381</v>
      </c>
      <c r="U8" s="2232" t="s">
        <v>382</v>
      </c>
      <c r="V8" s="2232" t="s">
        <v>383</v>
      </c>
      <c r="W8" s="830"/>
      <c r="X8" s="2232" t="s">
        <v>384</v>
      </c>
      <c r="Y8" s="2232" t="s">
        <v>385</v>
      </c>
      <c r="Z8" s="2232" t="s">
        <v>386</v>
      </c>
      <c r="AA8" s="830"/>
      <c r="AB8" s="2232" t="s">
        <v>387</v>
      </c>
      <c r="AC8" s="2232" t="s">
        <v>380</v>
      </c>
      <c r="AD8" s="830"/>
      <c r="AE8" s="2227"/>
      <c r="AF8" s="2227"/>
      <c r="AG8" s="2227"/>
      <c r="AH8" s="2227"/>
      <c r="AT8" s="451">
        <v>26</v>
      </c>
    </row>
    <row customHeight="1" ht="46.199999999999996">
      <c r="C9" s="454"/>
      <c r="D9" s="2131"/>
      <c r="E9" s="2227"/>
      <c r="F9" s="2227"/>
      <c r="G9" s="833"/>
      <c r="H9" s="2229"/>
      <c r="I9" s="2231"/>
      <c r="J9" s="429" t="s">
        <v>388</v>
      </c>
      <c r="K9" s="429" t="s">
        <v>389</v>
      </c>
      <c r="L9" s="429" t="s">
        <v>390</v>
      </c>
      <c r="M9" s="435" t="s">
        <v>391</v>
      </c>
      <c r="N9" s="429" t="s">
        <v>392</v>
      </c>
      <c r="O9" s="429" t="s">
        <v>391</v>
      </c>
      <c r="P9" s="429" t="s">
        <v>393</v>
      </c>
      <c r="Q9" s="429" t="s">
        <v>391</v>
      </c>
      <c r="R9" s="2235"/>
      <c r="S9" s="829"/>
      <c r="T9" s="2233"/>
      <c r="U9" s="2233"/>
      <c r="V9" s="2233"/>
      <c r="W9" s="831"/>
      <c r="X9" s="2233"/>
      <c r="Y9" s="2233"/>
      <c r="Z9" s="2233"/>
      <c r="AA9" s="831"/>
      <c r="AB9" s="2233"/>
      <c r="AC9" s="2233"/>
      <c r="AD9" s="831"/>
      <c r="AE9" s="2227"/>
      <c r="AF9" s="2227"/>
      <c r="AG9" s="2227"/>
      <c r="AH9" s="2227"/>
      <c r="AT9" s="451">
        <v>44</v>
      </c>
    </row>
    <row customHeight="1" ht="12" hidden="1">
      <c r="C10" s="49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1"/>
      <c r="AP10" s="504"/>
      <c r="AQ10" s="504"/>
      <c r="AT10" s="451">
        <v>0</v>
      </c>
    </row>
    <row s="1645" customFormat="1" customHeight="1" ht="11.25" hidden="1">
      <c r="C11" s="502"/>
      <c r="D11" s="503" t="s">
        <v>394</v>
      </c>
      <c r="E11" s="503"/>
      <c r="F11" s="503"/>
      <c r="G11" s="503"/>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439"/>
      <c r="AF11" s="439"/>
      <c r="AG11" s="439"/>
      <c r="AH11" s="439"/>
      <c r="AJ11" s="493"/>
      <c r="AK11" s="493"/>
      <c r="AL11" s="493"/>
      <c r="AM11" s="493"/>
      <c r="AN11" s="493"/>
      <c r="AO11" s="493"/>
      <c r="AP11" s="493"/>
      <c r="AQ11" s="493"/>
      <c r="AR11" s="493"/>
      <c r="AS11" s="493"/>
      <c r="AT11" s="500">
        <v>0</v>
      </c>
    </row>
    <row customHeight="1" ht="14.699999999999998">
      <c r="A12" s="451"/>
      <c r="C12" s="454"/>
      <c r="D12" s="438" t="s">
        <v>119</v>
      </c>
      <c r="E12" s="1781" t="s">
        <v>22</v>
      </c>
      <c r="F12" s="859"/>
      <c r="G12" s="860"/>
      <c r="H12" s="1782"/>
      <c r="I12" s="1782"/>
      <c r="J12" s="437"/>
      <c r="K12" s="1867"/>
      <c r="L12" s="436"/>
      <c r="M12" s="1867"/>
      <c r="N12" s="437"/>
      <c r="O12" s="1867"/>
      <c r="P12" s="437"/>
      <c r="Q12" s="1867"/>
      <c r="R12" s="437"/>
      <c r="S12" s="858"/>
      <c r="T12" s="1782"/>
      <c r="U12" s="437"/>
      <c r="V12" s="437"/>
      <c r="W12" s="831"/>
      <c r="X12" s="1782"/>
      <c r="Y12" s="437"/>
      <c r="Z12" s="437"/>
      <c r="AA12" s="831"/>
      <c r="AB12" s="1782"/>
      <c r="AC12" s="437"/>
      <c r="AD12" s="831"/>
      <c r="AE12" s="2225" t="s">
        <v>395</v>
      </c>
      <c r="AF12" s="2225" t="s">
        <v>396</v>
      </c>
      <c r="AG12" s="2225" t="s">
        <v>397</v>
      </c>
      <c r="AH12" s="2225" t="s">
        <v>398</v>
      </c>
      <c r="AI12" s="451"/>
      <c r="AM12" s="515"/>
      <c r="AP12" s="504" t="s">
        <v>399</v>
      </c>
      <c r="AQ12" s="504" t="s">
        <v>399</v>
      </c>
      <c r="AT12" s="451">
        <v>14</v>
      </c>
    </row>
    <row customHeight="1" ht="18">
      <c r="A13" s="451"/>
      <c r="C13" s="454"/>
      <c r="D13" s="409"/>
      <c r="E13" s="873" t="str">
        <f>IF(TITLE_DIFFERENTIATION_TYPE="нет","","Добавить систему")</f>
        <v/>
      </c>
      <c r="F13" s="873" t="str">
        <f>IF(TITLE_DIFFERENTIATION_TYPE="нет","Добавить вид деятельности","")</f>
        <v>Добавить вид деятельности</v>
      </c>
      <c r="G13" s="317"/>
      <c r="H13" s="410"/>
      <c r="I13" s="410"/>
      <c r="J13" s="410"/>
      <c r="K13" s="410"/>
      <c r="L13" s="410"/>
      <c r="M13" s="410"/>
      <c r="N13" s="410"/>
      <c r="O13" s="410"/>
      <c r="P13" s="410"/>
      <c r="Q13" s="410"/>
      <c r="R13" s="410"/>
      <c r="S13" s="410"/>
      <c r="T13" s="410"/>
      <c r="U13" s="410"/>
      <c r="V13" s="410"/>
      <c r="W13" s="410"/>
      <c r="X13" s="410"/>
      <c r="Y13" s="410"/>
      <c r="Z13" s="410"/>
      <c r="AA13" s="410"/>
      <c r="AB13" s="410"/>
      <c r="AC13" s="410"/>
      <c r="AD13" s="861"/>
      <c r="AE13" s="2226"/>
      <c r="AF13" s="2226"/>
      <c r="AG13" s="2226"/>
      <c r="AH13" s="2226"/>
      <c r="AI13" s="451"/>
      <c r="AT13" s="451">
        <v>17</v>
      </c>
    </row>
    <row customHeight="1" ht="14.699999999999998">
      <c r="AI14" s="451"/>
      <c r="AT14" s="451">
        <v>14</v>
      </c>
    </row>
    <row customHeight="1" ht="14.699999999999998">
      <c r="E15" s="762"/>
      <c r="L15" s="762"/>
      <c r="AT15" s="451">
        <v>14</v>
      </c>
    </row>
    <row customHeight="1" ht="14.699999999999998">
      <c r="L16" s="762"/>
      <c r="AT16" s="451">
        <v>14</v>
      </c>
    </row>
    <row customHeight="1" ht="14.699999999999998">
      <c r="L17" s="762"/>
      <c r="AT17" s="451">
        <v>14</v>
      </c>
    </row>
    <row customHeight="1" ht="22.5" hidden="1">
      <c r="A18" s="453" t="s">
        <v>82</v>
      </c>
      <c r="B18" s="451">
        <v>0</v>
      </c>
      <c r="C18" s="455">
        <v>3</v>
      </c>
      <c r="D18" s="451">
        <v>5</v>
      </c>
      <c r="E18" s="451">
        <v>48</v>
      </c>
      <c r="F18" s="451">
        <v>38</v>
      </c>
      <c r="G18" s="762">
        <v>0</v>
      </c>
      <c r="H18" s="451">
        <v>0</v>
      </c>
      <c r="I18" s="451">
        <v>0</v>
      </c>
      <c r="J18" s="451">
        <v>0</v>
      </c>
      <c r="K18" s="451">
        <v>0</v>
      </c>
      <c r="L18" s="451">
        <v>0</v>
      </c>
      <c r="M18" s="451">
        <v>0</v>
      </c>
      <c r="N18" s="451">
        <v>0</v>
      </c>
      <c r="O18" s="451">
        <v>0</v>
      </c>
      <c r="P18" s="451">
        <v>0</v>
      </c>
      <c r="Q18" s="451">
        <v>0</v>
      </c>
      <c r="R18" s="451">
        <v>0</v>
      </c>
      <c r="S18" s="762">
        <v>0</v>
      </c>
      <c r="T18" s="509">
        <v>0</v>
      </c>
      <c r="U18" s="509">
        <v>0</v>
      </c>
      <c r="V18" s="509">
        <v>0</v>
      </c>
      <c r="W18" s="762">
        <v>0</v>
      </c>
      <c r="X18" s="509">
        <v>0</v>
      </c>
      <c r="Y18" s="509">
        <v>0</v>
      </c>
      <c r="Z18" s="509">
        <v>0</v>
      </c>
      <c r="AA18" s="762">
        <v>0</v>
      </c>
      <c r="AB18" s="509">
        <v>0</v>
      </c>
      <c r="AC18" s="509">
        <v>0</v>
      </c>
      <c r="AD18" s="762">
        <v>0</v>
      </c>
      <c r="AE18" s="451">
        <v>0</v>
      </c>
      <c r="AF18" s="509">
        <v>0</v>
      </c>
      <c r="AG18" s="509">
        <v>0</v>
      </c>
      <c r="AH18" s="509">
        <v>0</v>
      </c>
      <c r="AI18" s="456">
        <v>3</v>
      </c>
      <c r="AJ18" s="493">
        <v>10</v>
      </c>
      <c r="AK18" s="493">
        <v>10</v>
      </c>
      <c r="AL18" s="493">
        <v>10</v>
      </c>
      <c r="AM18" s="493">
        <v>0</v>
      </c>
      <c r="AN18" s="493">
        <v>15</v>
      </c>
      <c r="AO18" s="493">
        <v>16</v>
      </c>
      <c r="AP18" s="493">
        <v>10</v>
      </c>
      <c r="AQ18" s="493">
        <v>10</v>
      </c>
      <c r="AR18" s="493">
        <v>10</v>
      </c>
      <c r="AS18" s="493">
        <v>10</v>
      </c>
      <c r="AT18" s="45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A99421-505F-2A1F-37A9-EB838EBD284B}"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187" width="9.140625"/>
  </cols>
  <sheetData>
    <row customHeight="1" ht="11.25">
      <c r="A1" s="187" t="s">
        <v>150</v>
      </c>
      <c r="B1" s="187" t="s">
        <v>4589</v>
      </c>
    </row>
    <row customHeight="1" ht="11.25">
      <c r="A2" s="187" t="s">
        <v>98</v>
      </c>
      <c r="B2" s="187" t="s">
        <v>4590</v>
      </c>
    </row>
    <row customHeight="1" ht="11.25">
      <c r="A3" s="187" t="s">
        <v>105</v>
      </c>
      <c r="B3" s="187" t="s">
        <v>4591</v>
      </c>
    </row>
    <row customHeight="1" ht="11.25">
      <c r="A4" s="187" t="s">
        <v>109</v>
      </c>
      <c r="B4" s="187" t="s">
        <v>4592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E27B99-EE6C-7CA5-869A-BFB8718CF59E}"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4593</v>
      </c>
      <c r="B1" s="839" t="s">
        <v>4594</v>
      </c>
    </row>
    <row customHeight="1" ht="11.25">
      <c r="A2" s="839">
        <v>4213775</v>
      </c>
      <c r="B2" s="839" t="s">
        <v>1536</v>
      </c>
    </row>
    <row customHeight="1" ht="11.25">
      <c r="A3" s="839">
        <v>4213784</v>
      </c>
      <c r="B3" s="839" t="s">
        <v>1568</v>
      </c>
    </row>
    <row customHeight="1" ht="11.25">
      <c r="A4" s="839">
        <v>4213781</v>
      </c>
      <c r="B4" s="839" t="s">
        <v>1561</v>
      </c>
    </row>
    <row customHeight="1" ht="11.25">
      <c r="A5" s="839">
        <v>4213776</v>
      </c>
      <c r="B5" s="839" t="s">
        <v>186</v>
      </c>
    </row>
    <row customHeight="1" ht="11.25">
      <c r="A6" s="839">
        <v>4213777</v>
      </c>
      <c r="B6" s="839" t="s">
        <v>192</v>
      </c>
    </row>
    <row customHeight="1" ht="11.25">
      <c r="A7" s="839">
        <v>4213778</v>
      </c>
      <c r="B7" s="839" t="s">
        <v>198</v>
      </c>
    </row>
    <row customHeight="1" ht="11.25">
      <c r="A8" s="839">
        <v>4213780</v>
      </c>
      <c r="B8" s="839" t="s">
        <v>204</v>
      </c>
    </row>
    <row customHeight="1" ht="11.25">
      <c r="A9" s="839">
        <v>4213779</v>
      </c>
      <c r="B9" s="839" t="s">
        <v>1699</v>
      </c>
    </row>
    <row customHeight="1" ht="11.25">
      <c r="A10" s="839">
        <v>4213783</v>
      </c>
      <c r="B10" s="839" t="s">
        <v>1713</v>
      </c>
    </row>
    <row customHeight="1" ht="11.25">
      <c r="A11" s="839">
        <v>4213782</v>
      </c>
      <c r="B11" s="839" t="s">
        <v>210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BCC612-F62E-4831-15B2-4A3584ECC28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4593</v>
      </c>
      <c r="B1" s="839" t="s">
        <v>4595</v>
      </c>
    </row>
    <row customHeight="1" ht="11.25">
      <c r="A2" s="839" t="s">
        <v>4596</v>
      </c>
      <c r="B2" s="839" t="s">
        <v>1807</v>
      </c>
    </row>
    <row customHeight="1" ht="11.25">
      <c r="A3" s="839" t="s">
        <v>4597</v>
      </c>
      <c r="B3" s="839" t="s">
        <v>1817</v>
      </c>
    </row>
    <row customHeight="1" ht="11.25">
      <c r="A4" s="839" t="s">
        <v>4598</v>
      </c>
      <c r="B4" s="839" t="s">
        <v>1826</v>
      </c>
    </row>
    <row customHeight="1" ht="11.25">
      <c r="A5" s="839" t="s">
        <v>135</v>
      </c>
      <c r="B5" s="839" t="s">
        <v>1835</v>
      </c>
    </row>
    <row customHeight="1" ht="11.25">
      <c r="A6" s="839" t="s">
        <v>4599</v>
      </c>
      <c r="B6" s="839" t="s">
        <v>1841</v>
      </c>
    </row>
    <row customHeight="1" ht="11.25">
      <c r="A7" s="839" t="s">
        <v>4600</v>
      </c>
      <c r="B7" s="839" t="s">
        <v>1849</v>
      </c>
    </row>
    <row customHeight="1" ht="11.25">
      <c r="A8" s="839" t="s">
        <v>4601</v>
      </c>
      <c r="B8" s="839" t="s">
        <v>1856</v>
      </c>
    </row>
    <row customHeight="1" ht="11.25">
      <c r="A9" s="839" t="s">
        <v>4602</v>
      </c>
      <c r="B9" s="839" t="s">
        <v>1862</v>
      </c>
    </row>
    <row customHeight="1" ht="11.25">
      <c r="A10" s="839" t="s">
        <v>138</v>
      </c>
      <c r="B10" s="839" t="s">
        <v>1866</v>
      </c>
    </row>
    <row customHeight="1" ht="11.25">
      <c r="A11" s="839" t="s">
        <v>140</v>
      </c>
      <c r="B11" s="839" t="s">
        <v>1873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4661FE-3522-C1EF-944C-BC303456C7B8}" mc:Ignorable="x14ac xr xr2 xr3">
  <sheetPr>
    <tabColor rgb="FFFFCC99"/>
  </sheetPr>
  <dimension ref="A1:G52"/>
  <sheetViews>
    <sheetView topLeftCell="A1" showGridLines="0" workbookViewId="0">
      <selection activeCell="A1" sqref="A1"/>
    </sheetView>
  </sheetViews>
  <sheetFormatPr customHeight="1" defaultRowHeight="11.25"/>
  <sheetData>
    <row customHeight="1" ht="11.25">
      <c r="A1" s="377" t="s">
        <v>4472</v>
      </c>
      <c r="B1" s="377" t="s">
        <v>4473</v>
      </c>
      <c r="C1" s="377" t="s">
        <v>4474</v>
      </c>
      <c r="D1" s="377" t="s">
        <v>4475</v>
      </c>
      <c r="E1" s="0" t="s">
        <v>4476</v>
      </c>
      <c r="F1" s="0" t="s">
        <v>4477</v>
      </c>
      <c r="G1" s="0" t="s">
        <v>4478</v>
      </c>
    </row>
    <row customHeight="1" ht="11.25">
      <c r="A2" s="0" t="s">
        <v>16</v>
      </c>
      <c r="B2" s="0" t="s">
        <v>4479</v>
      </c>
      <c r="C2" s="0" t="s">
        <v>4480</v>
      </c>
      <c r="D2" s="0" t="s">
        <v>4479</v>
      </c>
      <c r="E2" s="0" t="s">
        <v>4480</v>
      </c>
      <c r="F2" s="0" t="s">
        <v>4481</v>
      </c>
      <c r="G2" s="0" t="s">
        <v>119</v>
      </c>
    </row>
    <row customHeight="1" ht="11.25">
      <c r="A3" s="0" t="s">
        <v>16</v>
      </c>
      <c r="B3" s="0" t="s">
        <v>4482</v>
      </c>
      <c r="C3" s="0" t="s">
        <v>4483</v>
      </c>
      <c r="D3" s="0" t="s">
        <v>4482</v>
      </c>
      <c r="E3" s="0" t="s">
        <v>4483</v>
      </c>
      <c r="F3" s="0" t="s">
        <v>4481</v>
      </c>
      <c r="G3" s="0" t="s">
        <v>103</v>
      </c>
    </row>
    <row customHeight="1" ht="11.25">
      <c r="A4" s="0" t="s">
        <v>16</v>
      </c>
      <c r="B4" s="0" t="s">
        <v>4484</v>
      </c>
      <c r="C4" s="0" t="s">
        <v>4485</v>
      </c>
      <c r="D4" s="0" t="s">
        <v>4484</v>
      </c>
      <c r="E4" s="0" t="s">
        <v>4485</v>
      </c>
      <c r="F4" s="0" t="s">
        <v>4481</v>
      </c>
      <c r="G4" s="0" t="s">
        <v>90</v>
      </c>
    </row>
    <row customHeight="1" ht="11.25">
      <c r="A5" s="0" t="s">
        <v>16</v>
      </c>
      <c r="B5" s="0" t="s">
        <v>4486</v>
      </c>
      <c r="C5" s="0" t="s">
        <v>4487</v>
      </c>
      <c r="D5" s="0" t="s">
        <v>4486</v>
      </c>
      <c r="E5" s="0" t="s">
        <v>4487</v>
      </c>
      <c r="F5" s="0" t="s">
        <v>4481</v>
      </c>
      <c r="G5" s="0" t="s">
        <v>91</v>
      </c>
    </row>
    <row customHeight="1" ht="11.25">
      <c r="A6" s="0" t="s">
        <v>16</v>
      </c>
      <c r="B6" s="0" t="s">
        <v>4488</v>
      </c>
      <c r="C6" s="0" t="s">
        <v>4489</v>
      </c>
      <c r="D6" s="0" t="s">
        <v>4488</v>
      </c>
      <c r="E6" s="0" t="s">
        <v>4489</v>
      </c>
      <c r="F6" s="0" t="s">
        <v>4481</v>
      </c>
      <c r="G6" s="0" t="s">
        <v>120</v>
      </c>
    </row>
    <row customHeight="1" ht="11.25">
      <c r="A7" s="0" t="s">
        <v>16</v>
      </c>
      <c r="B7" s="0" t="s">
        <v>4490</v>
      </c>
      <c r="C7" s="0" t="s">
        <v>4491</v>
      </c>
      <c r="D7" s="0" t="s">
        <v>4490</v>
      </c>
      <c r="E7" s="0" t="s">
        <v>4491</v>
      </c>
      <c r="F7" s="0" t="s">
        <v>4481</v>
      </c>
      <c r="G7" s="0" t="s">
        <v>92</v>
      </c>
    </row>
    <row customHeight="1" ht="11.25">
      <c r="A8" s="0" t="s">
        <v>16</v>
      </c>
      <c r="B8" s="0" t="s">
        <v>4492</v>
      </c>
      <c r="C8" s="0" t="s">
        <v>4493</v>
      </c>
      <c r="D8" s="0" t="s">
        <v>4492</v>
      </c>
      <c r="E8" s="0" t="s">
        <v>4493</v>
      </c>
      <c r="F8" s="0" t="s">
        <v>4481</v>
      </c>
      <c r="G8" s="0" t="s">
        <v>93</v>
      </c>
    </row>
    <row customHeight="1" ht="11.25">
      <c r="A9" s="0" t="s">
        <v>16</v>
      </c>
      <c r="B9" s="0" t="s">
        <v>4494</v>
      </c>
      <c r="C9" s="0" t="s">
        <v>4495</v>
      </c>
      <c r="D9" s="0" t="s">
        <v>4494</v>
      </c>
      <c r="E9" s="0" t="s">
        <v>4495</v>
      </c>
      <c r="F9" s="0" t="s">
        <v>4481</v>
      </c>
      <c r="G9" s="0" t="s">
        <v>121</v>
      </c>
    </row>
    <row customHeight="1" ht="11.25">
      <c r="A10" s="0" t="s">
        <v>16</v>
      </c>
      <c r="B10" s="0" t="s">
        <v>4496</v>
      </c>
      <c r="C10" s="0" t="s">
        <v>4497</v>
      </c>
      <c r="D10" s="0" t="s">
        <v>4496</v>
      </c>
      <c r="E10" s="0" t="s">
        <v>4497</v>
      </c>
      <c r="F10" s="0" t="s">
        <v>4481</v>
      </c>
      <c r="G10" s="0" t="s">
        <v>168</v>
      </c>
    </row>
    <row customHeight="1" ht="11.25">
      <c r="A11" s="0" t="s">
        <v>16</v>
      </c>
      <c r="B11" s="0" t="s">
        <v>4498</v>
      </c>
      <c r="C11" s="0" t="s">
        <v>4499</v>
      </c>
      <c r="D11" s="0" t="s">
        <v>4498</v>
      </c>
      <c r="E11" s="0" t="s">
        <v>4499</v>
      </c>
      <c r="F11" s="0" t="s">
        <v>4481</v>
      </c>
      <c r="G11" s="0" t="s">
        <v>169</v>
      </c>
    </row>
    <row customHeight="1" ht="11.25">
      <c r="A12" s="0" t="s">
        <v>16</v>
      </c>
      <c r="B12" s="0" t="s">
        <v>4500</v>
      </c>
      <c r="C12" s="0" t="s">
        <v>4501</v>
      </c>
      <c r="D12" s="0" t="s">
        <v>4500</v>
      </c>
      <c r="E12" s="0" t="s">
        <v>4501</v>
      </c>
      <c r="F12" s="0" t="s">
        <v>4481</v>
      </c>
      <c r="G12" s="0" t="s">
        <v>170</v>
      </c>
    </row>
    <row customHeight="1" ht="11.25">
      <c r="A13" s="0" t="s">
        <v>16</v>
      </c>
      <c r="B13" s="0" t="s">
        <v>4502</v>
      </c>
      <c r="C13" s="0" t="s">
        <v>4503</v>
      </c>
      <c r="D13" s="0" t="s">
        <v>4502</v>
      </c>
      <c r="E13" s="0" t="s">
        <v>4503</v>
      </c>
      <c r="F13" s="0" t="s">
        <v>4481</v>
      </c>
      <c r="G13" s="0" t="s">
        <v>171</v>
      </c>
    </row>
    <row customHeight="1" ht="11.25">
      <c r="A14" s="0" t="s">
        <v>16</v>
      </c>
      <c r="B14" s="0" t="s">
        <v>4504</v>
      </c>
      <c r="C14" s="0" t="s">
        <v>4505</v>
      </c>
      <c r="D14" s="0" t="s">
        <v>4504</v>
      </c>
      <c r="E14" s="0" t="s">
        <v>4505</v>
      </c>
      <c r="F14" s="0" t="s">
        <v>4506</v>
      </c>
      <c r="G14" s="0" t="s">
        <v>172</v>
      </c>
    </row>
    <row customHeight="1" ht="11.25">
      <c r="A15" s="0" t="s">
        <v>16</v>
      </c>
      <c r="B15" s="0" t="s">
        <v>4507</v>
      </c>
      <c r="C15" s="0" t="s">
        <v>4508</v>
      </c>
      <c r="D15" s="0" t="s">
        <v>4507</v>
      </c>
      <c r="E15" s="0" t="s">
        <v>4508</v>
      </c>
      <c r="F15" s="0" t="s">
        <v>4481</v>
      </c>
      <c r="G15" s="0" t="s">
        <v>173</v>
      </c>
    </row>
    <row customHeight="1" ht="11.25">
      <c r="A16" s="0" t="s">
        <v>16</v>
      </c>
      <c r="B16" s="0" t="s">
        <v>4509</v>
      </c>
      <c r="C16" s="0" t="s">
        <v>4510</v>
      </c>
      <c r="D16" s="0" t="s">
        <v>4509</v>
      </c>
      <c r="E16" s="0" t="s">
        <v>4510</v>
      </c>
      <c r="F16" s="0" t="s">
        <v>4481</v>
      </c>
      <c r="G16" s="0" t="s">
        <v>1769</v>
      </c>
    </row>
    <row customHeight="1" ht="11.25">
      <c r="A17" s="0" t="s">
        <v>16</v>
      </c>
      <c r="B17" s="0" t="s">
        <v>4511</v>
      </c>
      <c r="C17" s="0" t="s">
        <v>4512</v>
      </c>
      <c r="D17" s="0" t="s">
        <v>4511</v>
      </c>
      <c r="E17" s="0" t="s">
        <v>4512</v>
      </c>
      <c r="F17" s="0" t="s">
        <v>4481</v>
      </c>
      <c r="G17" s="0" t="s">
        <v>1775</v>
      </c>
    </row>
    <row customHeight="1" ht="11.25">
      <c r="A18" s="0" t="s">
        <v>16</v>
      </c>
      <c r="B18" s="0" t="s">
        <v>4513</v>
      </c>
      <c r="C18" s="0" t="s">
        <v>4514</v>
      </c>
      <c r="D18" s="0" t="s">
        <v>4513</v>
      </c>
      <c r="E18" s="0" t="s">
        <v>4514</v>
      </c>
      <c r="F18" s="0" t="s">
        <v>4481</v>
      </c>
      <c r="G18" s="0" t="s">
        <v>1787</v>
      </c>
    </row>
    <row customHeight="1" ht="11.25">
      <c r="A19" s="0" t="s">
        <v>16</v>
      </c>
      <c r="B19" s="0" t="s">
        <v>4515</v>
      </c>
      <c r="C19" s="0" t="s">
        <v>4516</v>
      </c>
      <c r="D19" s="0" t="s">
        <v>4515</v>
      </c>
      <c r="E19" s="0" t="s">
        <v>4516</v>
      </c>
      <c r="F19" s="0" t="s">
        <v>4481</v>
      </c>
      <c r="G19" s="0" t="s">
        <v>1801</v>
      </c>
    </row>
    <row customHeight="1" ht="11.25">
      <c r="A20" s="0" t="s">
        <v>16</v>
      </c>
      <c r="B20" s="0" t="s">
        <v>4517</v>
      </c>
      <c r="C20" s="0" t="s">
        <v>4518</v>
      </c>
      <c r="D20" s="0" t="s">
        <v>4517</v>
      </c>
      <c r="E20" s="0" t="s">
        <v>4518</v>
      </c>
      <c r="F20" s="0" t="s">
        <v>4506</v>
      </c>
      <c r="G20" s="0" t="s">
        <v>1813</v>
      </c>
    </row>
    <row customHeight="1" ht="11.25">
      <c r="A21" s="0" t="s">
        <v>16</v>
      </c>
      <c r="B21" s="0" t="s">
        <v>4519</v>
      </c>
      <c r="C21" s="0" t="s">
        <v>4520</v>
      </c>
      <c r="D21" s="0" t="s">
        <v>4519</v>
      </c>
      <c r="E21" s="0" t="s">
        <v>4520</v>
      </c>
      <c r="F21" s="0" t="s">
        <v>4481</v>
      </c>
      <c r="G21" s="0" t="s">
        <v>1822</v>
      </c>
    </row>
    <row customHeight="1" ht="11.25">
      <c r="A22" s="0" t="s">
        <v>16</v>
      </c>
      <c r="B22" s="0" t="s">
        <v>4521</v>
      </c>
      <c r="C22" s="0" t="s">
        <v>4522</v>
      </c>
      <c r="D22" s="0" t="s">
        <v>4521</v>
      </c>
      <c r="E22" s="0" t="s">
        <v>4522</v>
      </c>
      <c r="F22" s="0" t="s">
        <v>4481</v>
      </c>
      <c r="G22" s="0" t="s">
        <v>1838</v>
      </c>
    </row>
    <row customHeight="1" ht="11.25">
      <c r="A23" s="0" t="s">
        <v>16</v>
      </c>
      <c r="B23" s="0" t="s">
        <v>4523</v>
      </c>
      <c r="C23" s="0" t="s">
        <v>4524</v>
      </c>
      <c r="D23" s="0" t="s">
        <v>4523</v>
      </c>
      <c r="E23" s="0" t="s">
        <v>4524</v>
      </c>
      <c r="F23" s="0" t="s">
        <v>4481</v>
      </c>
      <c r="G23" s="0" t="s">
        <v>1845</v>
      </c>
    </row>
    <row customHeight="1" ht="11.25">
      <c r="A24" s="0" t="s">
        <v>16</v>
      </c>
      <c r="B24" s="0" t="s">
        <v>4525</v>
      </c>
      <c r="C24" s="0" t="s">
        <v>4526</v>
      </c>
      <c r="D24" s="0" t="s">
        <v>4525</v>
      </c>
      <c r="E24" s="0" t="s">
        <v>4526</v>
      </c>
      <c r="F24" s="0" t="s">
        <v>4481</v>
      </c>
      <c r="G24" s="0" t="s">
        <v>1853</v>
      </c>
    </row>
    <row customHeight="1" ht="11.25">
      <c r="A25" s="0" t="s">
        <v>16</v>
      </c>
      <c r="B25" s="0" t="s">
        <v>4527</v>
      </c>
      <c r="C25" s="0" t="s">
        <v>4528</v>
      </c>
      <c r="D25" s="0" t="s">
        <v>4527</v>
      </c>
      <c r="E25" s="0" t="s">
        <v>4528</v>
      </c>
      <c r="F25" s="0" t="s">
        <v>4481</v>
      </c>
      <c r="G25" s="0" t="s">
        <v>1860</v>
      </c>
    </row>
    <row customHeight="1" ht="11.25">
      <c r="A26" s="0" t="s">
        <v>16</v>
      </c>
      <c r="B26" s="0" t="s">
        <v>4529</v>
      </c>
      <c r="C26" s="0" t="s">
        <v>4530</v>
      </c>
      <c r="D26" s="0" t="s">
        <v>4529</v>
      </c>
      <c r="E26" s="0" t="s">
        <v>4530</v>
      </c>
      <c r="F26" s="0" t="s">
        <v>4481</v>
      </c>
      <c r="G26" s="0" t="s">
        <v>1864</v>
      </c>
    </row>
    <row customHeight="1" ht="11.25">
      <c r="A27" s="0" t="s">
        <v>16</v>
      </c>
      <c r="B27" s="0" t="s">
        <v>4531</v>
      </c>
      <c r="C27" s="0" t="s">
        <v>4532</v>
      </c>
      <c r="D27" s="0" t="s">
        <v>4531</v>
      </c>
      <c r="E27" s="0" t="s">
        <v>4532</v>
      </c>
      <c r="F27" s="0" t="s">
        <v>4481</v>
      </c>
      <c r="G27" s="0" t="s">
        <v>1869</v>
      </c>
    </row>
    <row customHeight="1" ht="11.25">
      <c r="A28" s="0" t="s">
        <v>16</v>
      </c>
      <c r="B28" s="0" t="s">
        <v>4533</v>
      </c>
      <c r="C28" s="0" t="s">
        <v>4534</v>
      </c>
      <c r="D28" s="0" t="s">
        <v>4533</v>
      </c>
      <c r="E28" s="0" t="s">
        <v>4534</v>
      </c>
      <c r="F28" s="0" t="s">
        <v>4506</v>
      </c>
      <c r="G28" s="0" t="s">
        <v>1877</v>
      </c>
    </row>
    <row customHeight="1" ht="11.25">
      <c r="A29" s="0" t="s">
        <v>16</v>
      </c>
      <c r="B29" s="0" t="s">
        <v>4535</v>
      </c>
      <c r="C29" s="0" t="s">
        <v>4536</v>
      </c>
      <c r="D29" s="0" t="s">
        <v>4535</v>
      </c>
      <c r="E29" s="0" t="s">
        <v>4536</v>
      </c>
      <c r="F29" s="0" t="s">
        <v>4481</v>
      </c>
      <c r="G29" s="0" t="s">
        <v>1879</v>
      </c>
    </row>
    <row customHeight="1" ht="11.25">
      <c r="A30" s="0" t="s">
        <v>16</v>
      </c>
      <c r="B30" s="0" t="s">
        <v>4537</v>
      </c>
      <c r="C30" s="0" t="s">
        <v>4538</v>
      </c>
      <c r="D30" s="0" t="s">
        <v>4537</v>
      </c>
      <c r="E30" s="0" t="s">
        <v>4538</v>
      </c>
      <c r="F30" s="0" t="s">
        <v>4506</v>
      </c>
      <c r="G30" s="0" t="s">
        <v>1882</v>
      </c>
    </row>
    <row customHeight="1" ht="11.25">
      <c r="A31" s="0" t="s">
        <v>16</v>
      </c>
      <c r="B31" s="0" t="s">
        <v>4539</v>
      </c>
      <c r="C31" s="0" t="s">
        <v>4540</v>
      </c>
      <c r="D31" s="0" t="s">
        <v>4539</v>
      </c>
      <c r="E31" s="0" t="s">
        <v>4540</v>
      </c>
      <c r="F31" s="0" t="s">
        <v>4481</v>
      </c>
      <c r="G31" s="0" t="s">
        <v>1888</v>
      </c>
    </row>
    <row customHeight="1" ht="11.25">
      <c r="A32" s="0" t="s">
        <v>16</v>
      </c>
      <c r="B32" s="0" t="s">
        <v>4541</v>
      </c>
      <c r="C32" s="0" t="s">
        <v>4542</v>
      </c>
      <c r="D32" s="0" t="s">
        <v>4541</v>
      </c>
      <c r="E32" s="0" t="s">
        <v>4542</v>
      </c>
      <c r="F32" s="0" t="s">
        <v>4481</v>
      </c>
      <c r="G32" s="0" t="s">
        <v>1890</v>
      </c>
    </row>
    <row customHeight="1" ht="11.25">
      <c r="A33" s="0" t="s">
        <v>16</v>
      </c>
      <c r="B33" s="0" t="s">
        <v>4543</v>
      </c>
      <c r="C33" s="0" t="s">
        <v>4544</v>
      </c>
      <c r="D33" s="0" t="s">
        <v>4543</v>
      </c>
      <c r="E33" s="0" t="s">
        <v>4544</v>
      </c>
      <c r="F33" s="0" t="s">
        <v>4506</v>
      </c>
      <c r="G33" s="0" t="s">
        <v>1892</v>
      </c>
    </row>
    <row customHeight="1" ht="11.25">
      <c r="A34" s="0" t="s">
        <v>16</v>
      </c>
      <c r="B34" s="0" t="s">
        <v>4545</v>
      </c>
      <c r="C34" s="0" t="s">
        <v>4546</v>
      </c>
      <c r="D34" s="0" t="s">
        <v>4545</v>
      </c>
      <c r="E34" s="0" t="s">
        <v>4546</v>
      </c>
      <c r="F34" s="0" t="s">
        <v>4481</v>
      </c>
      <c r="G34" s="0" t="s">
        <v>1894</v>
      </c>
    </row>
    <row customHeight="1" ht="11.25">
      <c r="A35" s="0" t="s">
        <v>16</v>
      </c>
      <c r="B35" s="0" t="s">
        <v>4547</v>
      </c>
      <c r="C35" s="0" t="s">
        <v>4548</v>
      </c>
      <c r="D35" s="0" t="s">
        <v>4547</v>
      </c>
      <c r="E35" s="0" t="s">
        <v>4548</v>
      </c>
      <c r="F35" s="0" t="s">
        <v>4481</v>
      </c>
      <c r="G35" s="0" t="s">
        <v>1899</v>
      </c>
    </row>
    <row customHeight="1" ht="11.25">
      <c r="A36" s="0" t="s">
        <v>16</v>
      </c>
      <c r="B36" s="0" t="s">
        <v>4549</v>
      </c>
      <c r="C36" s="0" t="s">
        <v>4550</v>
      </c>
      <c r="D36" s="0" t="s">
        <v>4549</v>
      </c>
      <c r="E36" s="0" t="s">
        <v>4550</v>
      </c>
      <c r="F36" s="0" t="s">
        <v>4506</v>
      </c>
      <c r="G36" s="0" t="s">
        <v>1904</v>
      </c>
    </row>
    <row customHeight="1" ht="11.25">
      <c r="A37" s="0" t="s">
        <v>16</v>
      </c>
      <c r="B37" s="0" t="s">
        <v>4551</v>
      </c>
      <c r="C37" s="0" t="s">
        <v>4552</v>
      </c>
      <c r="D37" s="0" t="s">
        <v>4551</v>
      </c>
      <c r="E37" s="0" t="s">
        <v>4552</v>
      </c>
      <c r="F37" s="0" t="s">
        <v>4481</v>
      </c>
      <c r="G37" s="0" t="s">
        <v>1908</v>
      </c>
    </row>
    <row customHeight="1" ht="11.25">
      <c r="A38" s="0" t="s">
        <v>16</v>
      </c>
      <c r="B38" s="0" t="s">
        <v>4553</v>
      </c>
      <c r="C38" s="0" t="s">
        <v>4554</v>
      </c>
      <c r="D38" s="0" t="s">
        <v>4553</v>
      </c>
      <c r="E38" s="0" t="s">
        <v>4554</v>
      </c>
      <c r="F38" s="0" t="s">
        <v>4481</v>
      </c>
      <c r="G38" s="0" t="s">
        <v>1916</v>
      </c>
    </row>
    <row customHeight="1" ht="11.25">
      <c r="A39" s="0" t="s">
        <v>16</v>
      </c>
      <c r="B39" s="0" t="s">
        <v>4555</v>
      </c>
      <c r="C39" s="0" t="s">
        <v>4556</v>
      </c>
      <c r="D39" s="0" t="s">
        <v>4555</v>
      </c>
      <c r="E39" s="0" t="s">
        <v>4556</v>
      </c>
      <c r="F39" s="0" t="s">
        <v>4481</v>
      </c>
      <c r="G39" s="0" t="s">
        <v>1922</v>
      </c>
    </row>
    <row customHeight="1" ht="11.25">
      <c r="A40" s="0" t="s">
        <v>16</v>
      </c>
      <c r="B40" s="0" t="s">
        <v>4557</v>
      </c>
      <c r="C40" s="0" t="s">
        <v>4558</v>
      </c>
      <c r="D40" s="0" t="s">
        <v>4557</v>
      </c>
      <c r="E40" s="0" t="s">
        <v>4558</v>
      </c>
      <c r="F40" s="0" t="s">
        <v>4481</v>
      </c>
      <c r="G40" s="0" t="s">
        <v>1926</v>
      </c>
    </row>
    <row customHeight="1" ht="11.25">
      <c r="A41" s="0" t="s">
        <v>16</v>
      </c>
      <c r="B41" s="0" t="s">
        <v>4559</v>
      </c>
      <c r="C41" s="0" t="s">
        <v>4560</v>
      </c>
      <c r="D41" s="0" t="s">
        <v>4559</v>
      </c>
      <c r="E41" s="0" t="s">
        <v>4560</v>
      </c>
      <c r="F41" s="0" t="s">
        <v>4481</v>
      </c>
      <c r="G41" s="0" t="s">
        <v>1930</v>
      </c>
    </row>
    <row customHeight="1" ht="11.25">
      <c r="A42" s="0" t="s">
        <v>16</v>
      </c>
      <c r="B42" s="0" t="s">
        <v>4561</v>
      </c>
      <c r="C42" s="0" t="s">
        <v>4562</v>
      </c>
      <c r="D42" s="0" t="s">
        <v>4561</v>
      </c>
      <c r="E42" s="0" t="s">
        <v>4562</v>
      </c>
      <c r="F42" s="0" t="s">
        <v>4481</v>
      </c>
      <c r="G42" s="0" t="s">
        <v>1933</v>
      </c>
    </row>
    <row customHeight="1" ht="11.25">
      <c r="A43" s="0" t="s">
        <v>16</v>
      </c>
      <c r="B43" s="0" t="s">
        <v>4563</v>
      </c>
      <c r="C43" s="0" t="s">
        <v>4564</v>
      </c>
      <c r="D43" s="0" t="s">
        <v>4563</v>
      </c>
      <c r="E43" s="0" t="s">
        <v>4564</v>
      </c>
      <c r="F43" s="0" t="s">
        <v>4481</v>
      </c>
      <c r="G43" s="0" t="s">
        <v>1940</v>
      </c>
    </row>
    <row customHeight="1" ht="11.25">
      <c r="A44" s="0" t="s">
        <v>16</v>
      </c>
      <c r="B44" s="0" t="s">
        <v>107</v>
      </c>
      <c r="C44" s="0" t="s">
        <v>108</v>
      </c>
      <c r="D44" s="0" t="s">
        <v>107</v>
      </c>
      <c r="E44" s="0" t="s">
        <v>108</v>
      </c>
      <c r="F44" s="0" t="s">
        <v>4506</v>
      </c>
      <c r="G44" s="0" t="s">
        <v>106</v>
      </c>
    </row>
    <row customHeight="1" ht="11.25">
      <c r="A45" s="0" t="s">
        <v>16</v>
      </c>
      <c r="B45" s="0" t="s">
        <v>4565</v>
      </c>
      <c r="C45" s="0" t="s">
        <v>4566</v>
      </c>
      <c r="D45" s="0" t="s">
        <v>4565</v>
      </c>
      <c r="E45" s="0" t="s">
        <v>4566</v>
      </c>
      <c r="F45" s="0" t="s">
        <v>4506</v>
      </c>
      <c r="G45" s="0" t="s">
        <v>1953</v>
      </c>
    </row>
    <row customHeight="1" ht="11.25">
      <c r="A46" s="0" t="s">
        <v>16</v>
      </c>
      <c r="B46" s="0" t="s">
        <v>4567</v>
      </c>
      <c r="C46" s="0" t="s">
        <v>4568</v>
      </c>
      <c r="D46" s="0" t="s">
        <v>4567</v>
      </c>
      <c r="E46" s="0" t="s">
        <v>4568</v>
      </c>
      <c r="F46" s="0" t="s">
        <v>4506</v>
      </c>
      <c r="G46" s="0" t="s">
        <v>1957</v>
      </c>
    </row>
    <row customHeight="1" ht="11.25">
      <c r="A47" s="0" t="s">
        <v>16</v>
      </c>
      <c r="B47" s="0" t="s">
        <v>4569</v>
      </c>
      <c r="C47" s="0" t="s">
        <v>4570</v>
      </c>
      <c r="D47" s="0" t="s">
        <v>4569</v>
      </c>
      <c r="E47" s="0" t="s">
        <v>4570</v>
      </c>
      <c r="F47" s="0" t="s">
        <v>4506</v>
      </c>
      <c r="G47" s="0" t="s">
        <v>1962</v>
      </c>
    </row>
    <row customHeight="1" ht="11.25">
      <c r="A48" s="0" t="s">
        <v>16</v>
      </c>
      <c r="B48" s="0" t="s">
        <v>4571</v>
      </c>
      <c r="C48" s="0" t="s">
        <v>4572</v>
      </c>
      <c r="D48" s="0" t="s">
        <v>4571</v>
      </c>
      <c r="E48" s="0" t="s">
        <v>4572</v>
      </c>
      <c r="F48" s="0" t="s">
        <v>4506</v>
      </c>
      <c r="G48" s="0" t="s">
        <v>1967</v>
      </c>
    </row>
    <row customHeight="1" ht="11.25">
      <c r="A49" s="0" t="s">
        <v>16</v>
      </c>
      <c r="B49" s="0" t="s">
        <v>100</v>
      </c>
      <c r="C49" s="0" t="s">
        <v>101</v>
      </c>
      <c r="D49" s="0" t="s">
        <v>100</v>
      </c>
      <c r="E49" s="0" t="s">
        <v>101</v>
      </c>
      <c r="F49" s="0" t="s">
        <v>4506</v>
      </c>
      <c r="G49" s="0" t="s">
        <v>99</v>
      </c>
    </row>
    <row customHeight="1" ht="11.25">
      <c r="A50" s="0" t="s">
        <v>16</v>
      </c>
      <c r="B50" s="0" t="s">
        <v>4573</v>
      </c>
      <c r="C50" s="0" t="s">
        <v>4574</v>
      </c>
      <c r="D50" s="0" t="s">
        <v>4573</v>
      </c>
      <c r="E50" s="0" t="s">
        <v>4574</v>
      </c>
      <c r="F50" s="0" t="s">
        <v>4506</v>
      </c>
      <c r="G50" s="0" t="s">
        <v>1973</v>
      </c>
    </row>
    <row customHeight="1" ht="11.25">
      <c r="A51" s="0" t="s">
        <v>16</v>
      </c>
      <c r="B51" s="0" t="s">
        <v>111</v>
      </c>
      <c r="C51" s="0" t="s">
        <v>112</v>
      </c>
      <c r="D51" s="0" t="s">
        <v>111</v>
      </c>
      <c r="E51" s="0" t="s">
        <v>112</v>
      </c>
      <c r="F51" s="0" t="s">
        <v>4506</v>
      </c>
      <c r="G51" s="0" t="s">
        <v>110</v>
      </c>
    </row>
    <row customHeight="1" ht="11.25">
      <c r="A52" s="0" t="s">
        <v>16</v>
      </c>
      <c r="B52" s="0" t="s">
        <v>4575</v>
      </c>
      <c r="C52" s="0" t="s">
        <v>4576</v>
      </c>
      <c r="D52" s="0" t="s">
        <v>4575</v>
      </c>
      <c r="E52" s="0" t="s">
        <v>4576</v>
      </c>
      <c r="F52" s="0" t="s">
        <v>4506</v>
      </c>
      <c r="G52" s="0" t="s">
        <v>1981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8A7CB4-3C21-9621-9C4F-EFEE2B76D201}"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5" width="9.140625"/>
    <col min="2" max="2" style="1695" width="84.28125" customWidth="1"/>
    <col min="3" max="3" style="1695" width="9.140625"/>
  </cols>
  <sheetData>
    <row customHeight="1" ht="11.25">
      <c r="A1" s="839" t="s">
        <v>4603</v>
      </c>
      <c r="B1" s="839" t="s">
        <v>4604</v>
      </c>
      <c r="C1" s="839" t="s">
        <v>1481</v>
      </c>
    </row>
    <row customHeight="1" ht="11.25">
      <c r="A2" s="839">
        <v>4189678</v>
      </c>
      <c r="B2" s="839" t="s">
        <v>4605</v>
      </c>
      <c r="C2" s="839" t="s">
        <v>4606</v>
      </c>
    </row>
    <row customHeight="1" ht="11.25">
      <c r="A3" s="839">
        <v>4190415</v>
      </c>
      <c r="B3" s="839" t="s">
        <v>4607</v>
      </c>
      <c r="C3" s="839" t="s">
        <v>4606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AB661A-37FE-7B69-98D2-24D2F537466B}"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6" width="38.421875" customWidth="1"/>
    <col min="2" max="5" style="166" width="9.140625"/>
  </cols>
  <sheetData>
    <row customHeight="1" ht="15">
      <c r="A1" s="167" t="s">
        <v>4608</v>
      </c>
      <c r="B1" s="167" t="s">
        <v>4609</v>
      </c>
      <c r="C1" s="167"/>
      <c r="D1" s="167"/>
      <c r="E1" s="167"/>
    </row>
    <row customHeight="1" ht="15">
      <c r="A2" s="167"/>
      <c r="B2" s="167"/>
      <c r="C2" s="167"/>
      <c r="D2" s="167"/>
      <c r="E2" s="167"/>
    </row>
    <row customHeight="1" ht="15">
      <c r="A3" s="167"/>
      <c r="B3" s="167"/>
      <c r="C3" s="167"/>
      <c r="D3" s="167"/>
      <c r="E3" s="167"/>
    </row>
    <row customHeight="1" ht="15">
      <c r="A4" s="167"/>
      <c r="B4" s="167"/>
      <c r="C4" s="167"/>
      <c r="D4" s="167"/>
      <c r="E4" s="167"/>
    </row>
    <row customHeight="1" ht="15">
      <c r="A5" s="167"/>
      <c r="B5" s="167"/>
      <c r="C5" s="167"/>
      <c r="D5" s="167"/>
      <c r="E5" s="167"/>
    </row>
    <row customHeight="1" ht="15">
      <c r="A6" s="167"/>
      <c r="B6" s="167"/>
      <c r="C6" s="167"/>
      <c r="D6" s="167"/>
      <c r="E6" s="167"/>
    </row>
    <row customHeight="1" ht="15">
      <c r="A7" s="167"/>
      <c r="B7" s="167"/>
      <c r="C7" s="167"/>
      <c r="D7" s="167"/>
      <c r="E7" s="167"/>
    </row>
    <row customHeight="1" ht="15">
      <c r="A8" s="167"/>
      <c r="B8" s="167"/>
      <c r="C8" s="167"/>
      <c r="D8" s="167"/>
      <c r="E8" s="16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106CC3-DC6B-7CA4-E4EC-71A9DDDCCE86}"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4610</v>
      </c>
      <c r="B1" s="0" t="b">
        <v>1</v>
      </c>
    </row>
    <row customHeight="1" ht="11.25">
      <c r="A2" s="0" t="s">
        <v>4611</v>
      </c>
      <c r="B2" s="0" t="b">
        <v>0</v>
      </c>
    </row>
    <row customHeight="1" ht="11.25">
      <c r="A3" s="0" t="s">
        <v>4612</v>
      </c>
      <c r="B3" s="0" t="b">
        <v>1</v>
      </c>
    </row>
    <row customHeight="1" ht="11.25">
      <c r="A4" s="0" t="s">
        <v>4613</v>
      </c>
      <c r="B4" s="0" t="b">
        <v>0</v>
      </c>
    </row>
    <row customHeight="1" ht="11.25">
      <c r="A5" s="0" t="s">
        <v>4614</v>
      </c>
      <c r="B5" s="0" t="b">
        <v>0</v>
      </c>
    </row>
    <row customHeight="1" ht="11.25">
      <c r="A6" s="0" t="s">
        <v>4615</v>
      </c>
      <c r="B6" s="0" t="b">
        <v>0</v>
      </c>
    </row>
    <row customHeight="1" ht="11.25">
      <c r="A7" s="0" t="s">
        <v>4616</v>
      </c>
      <c r="B7" s="0" t="b">
        <v>0</v>
      </c>
    </row>
    <row customHeight="1" ht="11.25">
      <c r="A8" s="0" t="s">
        <v>4617</v>
      </c>
      <c r="B8" s="0" t="b">
        <v>0</v>
      </c>
    </row>
    <row customHeight="1" ht="11.25">
      <c r="A9" s="0" t="s">
        <v>4618</v>
      </c>
      <c r="B9" s="0" t="b">
        <v>0</v>
      </c>
    </row>
    <row customHeight="1" ht="11.25">
      <c r="A10" s="0" t="s">
        <v>4619</v>
      </c>
      <c r="B10" s="0" t="b">
        <v>1</v>
      </c>
    </row>
    <row customHeight="1" ht="11.25">
      <c r="A11" s="0" t="s">
        <v>4620</v>
      </c>
      <c r="B11" s="0" t="b">
        <v>0</v>
      </c>
    </row>
    <row customHeight="1" ht="11.25">
      <c r="A12" s="0" t="s">
        <v>4621</v>
      </c>
      <c r="B12" s="0" t="b">
        <v>0</v>
      </c>
    </row>
    <row customHeight="1" ht="11.25">
      <c r="A13" s="0" t="s">
        <v>4622</v>
      </c>
      <c r="B13" s="0" t="b">
        <v>0</v>
      </c>
    </row>
    <row customHeight="1" ht="11.25">
      <c r="A14" s="0" t="s">
        <v>4623</v>
      </c>
      <c r="B14" s="0" t="b">
        <v>0</v>
      </c>
    </row>
    <row customHeight="1" ht="11.25">
      <c r="A15" s="0" t="s">
        <v>4624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C486EE-D11F-8578-2D19-8EAB9A70BA2B}"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93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85F5A6-F259-A91E-546A-721DCD4E8EEA}"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1" t="s">
        <v>4625</v>
      </c>
      <c r="B1" s="71" t="s">
        <v>4626</v>
      </c>
    </row>
    <row customHeight="1" ht="11.25">
      <c r="A2" s="68" t="s">
        <v>4627</v>
      </c>
      <c r="B2" s="68" t="s">
        <v>4628</v>
      </c>
    </row>
    <row customHeight="1" ht="11.25">
      <c r="A3" s="68" t="s">
        <v>4629</v>
      </c>
      <c r="B3" s="68" t="s">
        <v>4630</v>
      </c>
    </row>
    <row customHeight="1" ht="11.25">
      <c r="A4" s="68" t="s">
        <v>4631</v>
      </c>
      <c r="B4" s="68" t="s">
        <v>4632</v>
      </c>
    </row>
    <row customHeight="1" ht="11.25">
      <c r="A5" s="68" t="s">
        <v>4633</v>
      </c>
      <c r="B5" s="68" t="s">
        <v>4634</v>
      </c>
    </row>
    <row customHeight="1" ht="11.25">
      <c r="A6" s="68" t="s">
        <v>4635</v>
      </c>
      <c r="B6" s="68" t="s">
        <v>4636</v>
      </c>
    </row>
    <row customHeight="1" ht="11.25">
      <c r="A7" s="68" t="s">
        <v>4637</v>
      </c>
      <c r="B7" s="68" t="s">
        <v>4638</v>
      </c>
    </row>
    <row customHeight="1" ht="11.25">
      <c r="A8" s="68" t="s">
        <v>4639</v>
      </c>
      <c r="B8" s="68" t="s">
        <v>4640</v>
      </c>
    </row>
    <row customHeight="1" ht="11.25">
      <c r="A9" s="68" t="s">
        <v>4641</v>
      </c>
      <c r="B9" s="68" t="s">
        <v>4642</v>
      </c>
    </row>
    <row customHeight="1" ht="11.25">
      <c r="A10" s="68" t="s">
        <v>4643</v>
      </c>
      <c r="B10" s="68" t="s">
        <v>4644</v>
      </c>
    </row>
    <row customHeight="1" ht="11.25">
      <c r="A11" s="68" t="s">
        <v>4645</v>
      </c>
      <c r="B11" s="68" t="s">
        <v>4646</v>
      </c>
    </row>
    <row customHeight="1" ht="11.25">
      <c r="A12" s="68" t="s">
        <v>4647</v>
      </c>
      <c r="B12" s="68" t="s">
        <v>4648</v>
      </c>
    </row>
    <row customHeight="1" ht="11.25">
      <c r="A13" s="68" t="s">
        <v>4649</v>
      </c>
      <c r="B13" s="68" t="s">
        <v>4650</v>
      </c>
    </row>
    <row customHeight="1" ht="11.25">
      <c r="A14" s="68" t="s">
        <v>4651</v>
      </c>
      <c r="B14" s="68" t="s">
        <v>4652</v>
      </c>
    </row>
    <row customHeight="1" ht="11.25">
      <c r="A15" s="68" t="s">
        <v>4653</v>
      </c>
      <c r="B15" s="68" t="s">
        <v>4654</v>
      </c>
    </row>
    <row customHeight="1" ht="11.25">
      <c r="A16" s="68" t="s">
        <v>4655</v>
      </c>
      <c r="B16" s="68" t="s">
        <v>4656</v>
      </c>
    </row>
    <row customHeight="1" ht="11.25">
      <c r="A17" s="68" t="s">
        <v>4657</v>
      </c>
      <c r="B17" s="68" t="s">
        <v>4658</v>
      </c>
    </row>
    <row customHeight="1" ht="11.25">
      <c r="A18" s="68" t="s">
        <v>4659</v>
      </c>
      <c r="B18" s="68" t="s">
        <v>4660</v>
      </c>
    </row>
    <row customHeight="1" ht="11.25">
      <c r="A19" s="68" t="s">
        <v>4661</v>
      </c>
      <c r="B19" s="68" t="s">
        <v>4662</v>
      </c>
    </row>
    <row customHeight="1" ht="11.25">
      <c r="A20" s="68" t="s">
        <v>4663</v>
      </c>
      <c r="B20" s="68" t="s">
        <v>4664</v>
      </c>
    </row>
    <row customHeight="1" ht="11.25">
      <c r="A21" s="68" t="s">
        <v>4665</v>
      </c>
      <c r="B21" s="68" t="s">
        <v>4666</v>
      </c>
    </row>
    <row customHeight="1" ht="11.25">
      <c r="A22" s="68" t="s">
        <v>4667</v>
      </c>
      <c r="B22" s="68" t="s">
        <v>4668</v>
      </c>
    </row>
    <row customHeight="1" ht="11.25">
      <c r="A23" s="68" t="s">
        <v>4669</v>
      </c>
      <c r="B23" s="68" t="s">
        <v>4670</v>
      </c>
    </row>
    <row customHeight="1" ht="11.25">
      <c r="A24" s="68" t="s">
        <v>4671</v>
      </c>
      <c r="B24" s="68" t="s">
        <v>4672</v>
      </c>
    </row>
    <row customHeight="1" ht="11.25">
      <c r="A25" s="68" t="s">
        <v>4673</v>
      </c>
      <c r="B25" s="68" t="s">
        <v>4674</v>
      </c>
    </row>
    <row customHeight="1" ht="11.25">
      <c r="A26" s="68" t="s">
        <v>4675</v>
      </c>
      <c r="B26" s="68" t="s">
        <v>4676</v>
      </c>
    </row>
    <row customHeight="1" ht="11.25">
      <c r="A27" s="68" t="s">
        <v>4677</v>
      </c>
      <c r="B27" s="68" t="s">
        <v>4678</v>
      </c>
    </row>
    <row customHeight="1" ht="11.25">
      <c r="A28" s="68" t="s">
        <v>4679</v>
      </c>
      <c r="B28" s="68" t="s">
        <v>4680</v>
      </c>
    </row>
    <row customHeight="1" ht="11.25">
      <c r="A29" s="68" t="s">
        <v>4681</v>
      </c>
      <c r="B29" s="68" t="s">
        <v>4682</v>
      </c>
    </row>
    <row customHeight="1" ht="11.25">
      <c r="A30" s="68" t="s">
        <v>4683</v>
      </c>
      <c r="B30" s="68" t="s">
        <v>4684</v>
      </c>
    </row>
    <row customHeight="1" ht="11.25">
      <c r="A31" s="68" t="s">
        <v>4685</v>
      </c>
      <c r="B31" s="68" t="s">
        <v>4686</v>
      </c>
    </row>
    <row customHeight="1" ht="11.25">
      <c r="A32" s="68" t="s">
        <v>4687</v>
      </c>
      <c r="B32" s="68" t="s">
        <v>4688</v>
      </c>
    </row>
    <row customHeight="1" ht="11.25">
      <c r="A33" s="68" t="s">
        <v>4689</v>
      </c>
      <c r="B33" s="68" t="s">
        <v>4690</v>
      </c>
    </row>
    <row customHeight="1" ht="11.25">
      <c r="A34" s="68" t="s">
        <v>4691</v>
      </c>
      <c r="B34" s="68" t="s">
        <v>4692</v>
      </c>
    </row>
    <row customHeight="1" ht="11.25">
      <c r="A35" s="68" t="s">
        <v>4693</v>
      </c>
      <c r="B35" s="68" t="s">
        <v>4694</v>
      </c>
    </row>
    <row customHeight="1" ht="11.25">
      <c r="A36" s="68" t="s">
        <v>4695</v>
      </c>
      <c r="B36" s="68" t="s">
        <v>4696</v>
      </c>
    </row>
    <row customHeight="1" ht="11.25">
      <c r="A37" s="68" t="s">
        <v>4697</v>
      </c>
      <c r="B37" s="68" t="s">
        <v>4698</v>
      </c>
    </row>
    <row customHeight="1" ht="11.25">
      <c r="A38" s="68" t="s">
        <v>4699</v>
      </c>
      <c r="B38" s="68" t="s">
        <v>4700</v>
      </c>
    </row>
    <row customHeight="1" ht="11.25">
      <c r="A39" s="68" t="s">
        <v>4701</v>
      </c>
      <c r="B39" s="68" t="s">
        <v>4702</v>
      </c>
    </row>
    <row customHeight="1" ht="11.25">
      <c r="A40" s="68" t="s">
        <v>4703</v>
      </c>
      <c r="B40" s="68" t="s">
        <v>4704</v>
      </c>
    </row>
    <row customHeight="1" ht="11.25">
      <c r="A41" s="68" t="s">
        <v>4705</v>
      </c>
      <c r="B41" s="68" t="s">
        <v>4706</v>
      </c>
    </row>
    <row customHeight="1" ht="11.25">
      <c r="A42" s="68" t="s">
        <v>4707</v>
      </c>
      <c r="B42" s="68" t="s">
        <v>4708</v>
      </c>
    </row>
    <row customHeight="1" ht="11.25">
      <c r="A43" s="68" t="s">
        <v>4709</v>
      </c>
      <c r="B43" s="68" t="s">
        <v>4710</v>
      </c>
    </row>
    <row customHeight="1" ht="11.25">
      <c r="A44" s="68" t="s">
        <v>4711</v>
      </c>
      <c r="B44" s="68" t="s">
        <v>4712</v>
      </c>
    </row>
    <row customHeight="1" ht="11.25">
      <c r="A45" s="68" t="s">
        <v>4713</v>
      </c>
      <c r="B45" s="68" t="s">
        <v>4714</v>
      </c>
    </row>
    <row customHeight="1" ht="11.25">
      <c r="A46" s="68" t="s">
        <v>4715</v>
      </c>
      <c r="B46" s="68" t="s">
        <v>4716</v>
      </c>
    </row>
    <row customHeight="1" ht="11.25">
      <c r="A47" s="68" t="s">
        <v>4717</v>
      </c>
      <c r="B47" s="68" t="s">
        <v>4718</v>
      </c>
    </row>
    <row customHeight="1" ht="11.25">
      <c r="A48" s="68" t="s">
        <v>4719</v>
      </c>
      <c r="B48" s="68" t="s">
        <v>4720</v>
      </c>
    </row>
    <row customHeight="1" ht="11.25">
      <c r="A49" s="68" t="s">
        <v>4721</v>
      </c>
      <c r="B49" s="68" t="s">
        <v>4722</v>
      </c>
    </row>
    <row customHeight="1" ht="11.25">
      <c r="A50" s="68" t="s">
        <v>4723</v>
      </c>
      <c r="B50" s="68" t="s">
        <v>4724</v>
      </c>
    </row>
    <row customHeight="1" ht="11.25">
      <c r="A51" s="68" t="s">
        <v>4725</v>
      </c>
      <c r="B51" s="68" t="s">
        <v>4726</v>
      </c>
    </row>
    <row customHeight="1" ht="11.25">
      <c r="A52" s="68" t="s">
        <v>4727</v>
      </c>
      <c r="B52" s="68" t="s">
        <v>4728</v>
      </c>
    </row>
    <row customHeight="1" ht="11.25">
      <c r="A53" s="68" t="s">
        <v>4729</v>
      </c>
      <c r="B53" s="68" t="s">
        <v>4730</v>
      </c>
    </row>
    <row customHeight="1" ht="11.25">
      <c r="A54" s="68" t="s">
        <v>4731</v>
      </c>
      <c r="B54" s="68" t="s">
        <v>4732</v>
      </c>
    </row>
    <row customHeight="1" ht="11.25">
      <c r="A55" s="68" t="s">
        <v>4733</v>
      </c>
      <c r="B55" s="68" t="s">
        <v>4734</v>
      </c>
    </row>
    <row customHeight="1" ht="11.25">
      <c r="A56" s="68" t="s">
        <v>4735</v>
      </c>
      <c r="B56" s="68" t="s">
        <v>4736</v>
      </c>
    </row>
    <row customHeight="1" ht="11.25">
      <c r="A57" s="68" t="s">
        <v>4737</v>
      </c>
      <c r="B57" s="68" t="s">
        <v>4738</v>
      </c>
    </row>
    <row customHeight="1" ht="11.25">
      <c r="A58" s="68" t="s">
        <v>4739</v>
      </c>
      <c r="B58" s="68" t="s">
        <v>4740</v>
      </c>
    </row>
    <row customHeight="1" ht="11.25">
      <c r="A59" s="68" t="s">
        <v>4741</v>
      </c>
      <c r="B59" s="68" t="s">
        <v>4742</v>
      </c>
    </row>
    <row customHeight="1" ht="11.25">
      <c r="A60" s="68" t="s">
        <v>4743</v>
      </c>
      <c r="B60" s="68" t="s">
        <v>4744</v>
      </c>
    </row>
    <row customHeight="1" ht="11.25">
      <c r="A61" s="68"/>
      <c r="B61" s="68" t="s">
        <v>4745</v>
      </c>
    </row>
    <row customHeight="1" ht="11.25">
      <c r="A62" s="68"/>
      <c r="B62" s="68" t="s">
        <v>4746</v>
      </c>
    </row>
    <row customHeight="1" ht="11.25">
      <c r="A63" s="68"/>
      <c r="B63" s="68" t="s">
        <v>4747</v>
      </c>
    </row>
    <row customHeight="1" ht="11.25">
      <c r="A64" s="68"/>
      <c r="B64" s="68" t="s">
        <v>4748</v>
      </c>
    </row>
    <row customHeight="1" ht="11.25">
      <c r="A65" s="68"/>
      <c r="B65" s="68" t="s">
        <v>4749</v>
      </c>
    </row>
    <row customHeight="1" ht="11.25">
      <c r="A66" s="68"/>
      <c r="B66" s="68" t="s">
        <v>4750</v>
      </c>
    </row>
    <row customHeight="1" ht="11.25">
      <c r="A67" s="68"/>
      <c r="B67" s="68" t="s">
        <v>4751</v>
      </c>
    </row>
    <row customHeight="1" ht="11.25">
      <c r="A68" s="68"/>
      <c r="B68" s="68" t="s">
        <v>4752</v>
      </c>
    </row>
    <row customHeight="1" ht="11.25">
      <c r="A69" s="68"/>
      <c r="B69" s="68" t="s">
        <v>4753</v>
      </c>
    </row>
    <row customHeight="1" ht="11.25">
      <c r="A70" s="68"/>
      <c r="B70" s="68" t="s">
        <v>4754</v>
      </c>
    </row>
    <row customHeight="1" ht="11.25">
      <c r="A71" s="68"/>
      <c r="B71" s="68"/>
    </row>
    <row customHeight="1" ht="11.25">
      <c r="A72" s="68"/>
      <c r="B72" s="68"/>
    </row>
    <row customHeight="1" ht="11.25">
      <c r="A73" s="68"/>
      <c r="B73" s="68"/>
    </row>
    <row customHeight="1" ht="11.25">
      <c r="A74" s="68"/>
      <c r="B74" s="68"/>
    </row>
    <row customHeight="1" ht="11.25">
      <c r="A75" s="68"/>
      <c r="B75" s="68"/>
    </row>
    <row customHeight="1" ht="11.25">
      <c r="A76" s="68"/>
      <c r="B76" s="68"/>
    </row>
    <row customHeight="1" ht="11.25">
      <c r="A77" s="68"/>
      <c r="B77" s="68"/>
    </row>
    <row customHeight="1" ht="11.25">
      <c r="A78" s="68"/>
      <c r="B78" s="68"/>
    </row>
    <row customHeight="1" ht="11.25">
      <c r="A79" s="68"/>
      <c r="B79" s="68"/>
    </row>
    <row customHeight="1" ht="11.25">
      <c r="A80" s="68"/>
      <c r="B80" s="68"/>
    </row>
    <row customHeight="1" ht="11.25">
      <c r="A81" s="68"/>
      <c r="B81" s="68"/>
    </row>
    <row customHeight="1" ht="11.25">
      <c r="A82" s="68"/>
      <c r="B82" s="68"/>
    </row>
    <row customHeight="1" ht="11.25">
      <c r="A83" s="68"/>
      <c r="B83" s="68"/>
    </row>
    <row customHeight="1" ht="11.25">
      <c r="A84" s="68"/>
      <c r="B84" s="68"/>
    </row>
    <row customHeight="1" ht="11.25">
      <c r="A85" s="68"/>
      <c r="B85" s="68"/>
    </row>
    <row customHeight="1" ht="11.25">
      <c r="A86" s="68"/>
      <c r="B86" s="68"/>
    </row>
    <row customHeight="1" ht="11.25">
      <c r="A87" s="68"/>
      <c r="B87" s="68"/>
    </row>
    <row customHeight="1" ht="11.25">
      <c r="A88" s="68"/>
      <c r="B88" s="68"/>
    </row>
    <row customHeight="1" ht="11.25">
      <c r="A89" s="68"/>
      <c r="B89" s="68"/>
    </row>
    <row customHeight="1" ht="11.25">
      <c r="A90" s="68"/>
      <c r="B90" s="68"/>
    </row>
    <row customHeight="1" ht="11.25">
      <c r="A91" s="68"/>
      <c r="B91" s="68"/>
    </row>
    <row customHeight="1" ht="11.25">
      <c r="A92" s="68"/>
      <c r="B92" s="68"/>
    </row>
    <row customHeight="1" ht="11.25">
      <c r="A93" s="68"/>
      <c r="B93" s="68"/>
    </row>
    <row customHeight="1" ht="11.25">
      <c r="A94" s="68"/>
      <c r="B94" s="68"/>
    </row>
    <row customHeight="1" ht="11.25">
      <c r="A95" s="68"/>
      <c r="B95" s="68"/>
    </row>
    <row customHeight="1" ht="11.25">
      <c r="A96" s="68"/>
      <c r="B96" s="68"/>
    </row>
    <row customHeight="1" ht="11.25">
      <c r="A97" s="68"/>
      <c r="B97" s="68"/>
    </row>
    <row customHeight="1" ht="11.25">
      <c r="A98" s="68"/>
      <c r="B98" s="68"/>
    </row>
    <row customHeight="1" ht="11.25">
      <c r="A99" s="68"/>
      <c r="B99" s="68"/>
    </row>
    <row customHeight="1" ht="11.25">
      <c r="A100" s="68"/>
      <c r="B100" s="68"/>
    </row>
    <row customHeight="1" ht="11.25">
      <c r="A101" s="68"/>
      <c r="B101" s="68"/>
    </row>
    <row customHeight="1" ht="11.25">
      <c r="A102" s="68"/>
      <c r="B102" s="68"/>
    </row>
    <row customHeight="1" ht="11.25">
      <c r="A103" s="68"/>
      <c r="B103" s="68"/>
    </row>
    <row customHeight="1" ht="11.25">
      <c r="A104" s="68"/>
      <c r="B104" s="68"/>
    </row>
    <row customHeight="1" ht="11.25">
      <c r="A105" s="68"/>
      <c r="B105" s="68"/>
    </row>
    <row customHeight="1" ht="11.25">
      <c r="A106" s="68"/>
      <c r="B106" s="68"/>
    </row>
    <row customHeight="1" ht="11.25">
      <c r="A107" s="68"/>
      <c r="B107" s="68"/>
    </row>
    <row customHeight="1" ht="11.25">
      <c r="A108" s="68"/>
      <c r="B108" s="68"/>
    </row>
    <row customHeight="1" ht="11.25">
      <c r="A109" s="68"/>
      <c r="B109" s="68"/>
    </row>
    <row customHeight="1" ht="11.25">
      <c r="A110" s="68"/>
      <c r="B110" s="68"/>
    </row>
    <row customHeight="1" ht="11.25">
      <c r="A111" s="68"/>
      <c r="B111" s="68"/>
    </row>
    <row customHeight="1" ht="11.25">
      <c r="A112" s="68"/>
      <c r="B112" s="68"/>
    </row>
    <row customHeight="1" ht="11.25">
      <c r="A113" s="68"/>
      <c r="B113" s="68"/>
    </row>
    <row customHeight="1" ht="11.25">
      <c r="A114" s="68"/>
      <c r="B114" s="68"/>
    </row>
    <row customHeight="1" ht="11.25">
      <c r="A115" s="68"/>
      <c r="B115" s="68"/>
    </row>
    <row customHeight="1" ht="11.25">
      <c r="A116" s="68"/>
      <c r="B116" s="68"/>
    </row>
    <row customHeight="1" ht="11.25">
      <c r="A117" s="68"/>
      <c r="B117" s="68"/>
    </row>
    <row customHeight="1" ht="11.25">
      <c r="A118" s="68"/>
      <c r="B118" s="68"/>
    </row>
    <row customHeight="1" ht="11.25">
      <c r="A119" s="68"/>
      <c r="B119" s="68"/>
    </row>
    <row customHeight="1" ht="11.25">
      <c r="A120" s="68"/>
      <c r="B120" s="68"/>
    </row>
    <row customHeight="1" ht="11.25">
      <c r="A121" s="68"/>
      <c r="B121" s="68"/>
    </row>
    <row customHeight="1" ht="11.25">
      <c r="A122" s="68"/>
      <c r="B122" s="68"/>
    </row>
    <row customHeight="1" ht="11.25">
      <c r="A123" s="68"/>
      <c r="B123" s="68"/>
    </row>
    <row customHeight="1" ht="11.25">
      <c r="A124" s="68"/>
      <c r="B124" s="68"/>
    </row>
    <row customHeight="1" ht="11.25">
      <c r="A125" s="68"/>
      <c r="B125" s="68"/>
    </row>
    <row customHeight="1" ht="11.25">
      <c r="A126" s="68"/>
      <c r="B126" s="68"/>
    </row>
    <row customHeight="1" ht="11.25">
      <c r="A127" s="68"/>
      <c r="B127" s="68"/>
    </row>
    <row customHeight="1" ht="11.25">
      <c r="A128" s="68"/>
      <c r="B128" s="68"/>
    </row>
    <row customHeight="1" ht="11.25">
      <c r="A129" s="68"/>
      <c r="B129" s="68"/>
    </row>
    <row customHeight="1" ht="11.25">
      <c r="A130" s="68"/>
      <c r="B130" s="68"/>
    </row>
    <row customHeight="1" ht="11.25">
      <c r="A131" s="68"/>
      <c r="B131" s="68"/>
    </row>
    <row customHeight="1" ht="11.25">
      <c r="A132" s="68"/>
      <c r="B132" s="68"/>
    </row>
    <row customHeight="1" ht="11.25">
      <c r="A133" s="68"/>
      <c r="B133" s="68"/>
    </row>
    <row customHeight="1" ht="11.25">
      <c r="A134" s="68"/>
      <c r="B134" s="68"/>
    </row>
    <row customHeight="1" ht="11.25">
      <c r="A135" s="68"/>
      <c r="B135" s="68"/>
    </row>
    <row customHeight="1" ht="11.25">
      <c r="A136" s="68"/>
      <c r="B136" s="68"/>
    </row>
    <row customHeight="1" ht="11.25">
      <c r="A137" s="68"/>
      <c r="B137" s="68"/>
    </row>
    <row customHeight="1" ht="11.25">
      <c r="A138" s="68"/>
      <c r="B138" s="68"/>
    </row>
    <row customHeight="1" ht="11.25">
      <c r="A139" s="68"/>
      <c r="B139" s="68"/>
    </row>
    <row customHeight="1" ht="11.25">
      <c r="A140" s="68"/>
      <c r="B140" s="68"/>
    </row>
    <row customHeight="1" ht="11.25">
      <c r="A141" s="68"/>
      <c r="B141" s="68"/>
    </row>
    <row customHeight="1" ht="11.25">
      <c r="A142" s="68"/>
      <c r="B142" s="68"/>
    </row>
    <row customHeight="1" ht="11.25">
      <c r="A143" s="68"/>
      <c r="B143" s="68"/>
    </row>
    <row customHeight="1" ht="11.25">
      <c r="A144" s="68"/>
      <c r="B144" s="68"/>
    </row>
    <row customHeight="1" ht="11.25">
      <c r="A145" s="68"/>
      <c r="B145" s="68"/>
    </row>
    <row customHeight="1" ht="11.25">
      <c r="A146" s="68"/>
      <c r="B146" s="68"/>
    </row>
    <row customHeight="1" ht="11.25">
      <c r="A147" s="68"/>
      <c r="B147" s="68"/>
    </row>
    <row customHeight="1" ht="11.25">
      <c r="A148" s="68"/>
      <c r="B148" s="68"/>
    </row>
    <row customHeight="1" ht="11.25">
      <c r="A149" s="68"/>
      <c r="B149" s="68"/>
    </row>
    <row customHeight="1" ht="11.25">
      <c r="A150" s="68"/>
      <c r="B150" s="68"/>
    </row>
    <row customHeight="1" ht="11.25">
      <c r="A151" s="68"/>
      <c r="B151" s="68"/>
    </row>
    <row customHeight="1" ht="11.25">
      <c r="A152" s="68"/>
      <c r="B152" s="68"/>
    </row>
    <row customHeight="1" ht="11.25">
      <c r="A153" s="68"/>
      <c r="B153" s="68"/>
    </row>
    <row customHeight="1" ht="11.25">
      <c r="A154" s="68"/>
      <c r="B154" s="68"/>
    </row>
    <row customHeight="1" ht="11.25">
      <c r="A155" s="68"/>
      <c r="B155" s="68"/>
    </row>
    <row customHeight="1" ht="11.25">
      <c r="A156" s="68"/>
      <c r="B156" s="68"/>
    </row>
    <row customHeight="1" ht="11.25">
      <c r="A157" s="68"/>
      <c r="B157" s="68"/>
    </row>
    <row customHeight="1" ht="11.25">
      <c r="A158" s="68"/>
      <c r="B158" s="68"/>
    </row>
    <row customHeight="1" ht="11.25">
      <c r="A159" s="68"/>
      <c r="B159" s="68"/>
    </row>
    <row customHeight="1" ht="11.25">
      <c r="A160" s="68"/>
      <c r="B160" s="68"/>
    </row>
    <row customHeight="1" ht="11.25">
      <c r="A161" s="68"/>
      <c r="B161" s="68"/>
    </row>
    <row customHeight="1" ht="11.25">
      <c r="A162" s="68"/>
      <c r="B162" s="68"/>
    </row>
    <row customHeight="1" ht="11.25">
      <c r="A163" s="68"/>
      <c r="B163" s="68"/>
    </row>
    <row customHeight="1" ht="11.25">
      <c r="A164" s="68"/>
      <c r="B164" s="68"/>
    </row>
    <row customHeight="1" ht="11.25">
      <c r="A165" s="68"/>
      <c r="B165" s="68"/>
    </row>
    <row customHeight="1" ht="11.25">
      <c r="A166" s="68"/>
      <c r="B166" s="68"/>
    </row>
    <row customHeight="1" ht="11.25">
      <c r="A167" s="68"/>
      <c r="B167" s="68"/>
    </row>
    <row customHeight="1" ht="11.25">
      <c r="A168" s="68"/>
      <c r="B168" s="68"/>
    </row>
    <row customHeight="1" ht="11.25">
      <c r="A169" s="68"/>
      <c r="B169" s="68"/>
    </row>
    <row customHeight="1" ht="11.25">
      <c r="A170" s="68"/>
      <c r="B170" s="68"/>
    </row>
    <row customHeight="1" ht="11.25">
      <c r="A171" s="68"/>
      <c r="B171" s="68"/>
    </row>
    <row customHeight="1" ht="11.25">
      <c r="A172" s="68"/>
      <c r="B172" s="68"/>
    </row>
    <row customHeight="1" ht="11.25">
      <c r="A173" s="68"/>
      <c r="B173" s="68"/>
    </row>
    <row customHeight="1" ht="11.25">
      <c r="A174" s="68"/>
      <c r="B174" s="68"/>
    </row>
    <row customHeight="1" ht="11.25">
      <c r="A175" s="68"/>
      <c r="B175" s="68"/>
    </row>
    <row customHeight="1" ht="11.25">
      <c r="A176" s="68"/>
      <c r="B176" s="68"/>
    </row>
    <row customHeight="1" ht="11.25">
      <c r="A177" s="68"/>
      <c r="B177" s="68"/>
    </row>
    <row customHeight="1" ht="11.25">
      <c r="A178" s="68"/>
      <c r="B178" s="68"/>
    </row>
    <row customHeight="1" ht="11.25">
      <c r="A179" s="68"/>
      <c r="B179" s="68"/>
    </row>
    <row customHeight="1" ht="11.25">
      <c r="A180" s="68"/>
      <c r="B180" s="68"/>
    </row>
    <row customHeight="1" ht="11.25">
      <c r="A181" s="68"/>
      <c r="B181" s="68"/>
    </row>
    <row customHeight="1" ht="11.25">
      <c r="A182" s="68"/>
      <c r="B182" s="68"/>
    </row>
    <row customHeight="1" ht="11.25">
      <c r="A183" s="68"/>
      <c r="B183" s="68"/>
    </row>
    <row customHeight="1" ht="11.25">
      <c r="A184" s="68"/>
      <c r="B184" s="68"/>
    </row>
    <row customHeight="1" ht="11.25">
      <c r="A185" s="68"/>
      <c r="B185" s="68"/>
    </row>
    <row customHeight="1" ht="11.25">
      <c r="A186" s="68"/>
      <c r="B186" s="68"/>
    </row>
    <row customHeight="1" ht="11.25">
      <c r="A187" s="68"/>
      <c r="B187" s="68"/>
    </row>
    <row customHeight="1" ht="11.25">
      <c r="A188" s="68"/>
      <c r="B188" s="68"/>
    </row>
    <row customHeight="1" ht="11.25">
      <c r="A189" s="68"/>
      <c r="B189" s="68"/>
    </row>
    <row customHeight="1" ht="11.25">
      <c r="A190" s="68"/>
      <c r="B190" s="68"/>
    </row>
    <row customHeight="1" ht="11.25">
      <c r="A191" s="68"/>
      <c r="B191" s="68"/>
    </row>
    <row customHeight="1" ht="11.25">
      <c r="A192" s="68"/>
      <c r="B192" s="68"/>
    </row>
    <row customHeight="1" ht="11.25">
      <c r="A193" s="68"/>
      <c r="B193" s="68"/>
    </row>
    <row customHeight="1" ht="11.25">
      <c r="A194" s="68"/>
      <c r="B194" s="68"/>
    </row>
    <row customHeight="1" ht="11.25">
      <c r="A195" s="68"/>
      <c r="B195" s="68"/>
    </row>
    <row customHeight="1" ht="11.25">
      <c r="A196" s="68"/>
      <c r="B196" s="68"/>
    </row>
    <row customHeight="1" ht="11.25">
      <c r="A197" s="68"/>
      <c r="B197" s="68"/>
    </row>
    <row customHeight="1" ht="11.25">
      <c r="A198" s="68"/>
      <c r="B198" s="68"/>
    </row>
    <row customHeight="1" ht="11.25">
      <c r="A199" s="68"/>
      <c r="B199" s="68"/>
    </row>
    <row customHeight="1" ht="11.25">
      <c r="A200" s="68"/>
      <c r="B200" s="68"/>
    </row>
    <row customHeight="1" ht="11.25">
      <c r="A201" s="68"/>
      <c r="B201" s="68"/>
    </row>
    <row customHeight="1" ht="11.25">
      <c r="A202" s="68"/>
      <c r="B202" s="68"/>
    </row>
    <row customHeight="1" ht="11.25">
      <c r="A203" s="68"/>
      <c r="B203" s="68"/>
    </row>
    <row customHeight="1" ht="11.25">
      <c r="A204" s="68"/>
      <c r="B204" s="68"/>
    </row>
    <row customHeight="1" ht="11.25">
      <c r="A205" s="68"/>
      <c r="B205" s="68"/>
    </row>
    <row customHeight="1" ht="11.25">
      <c r="A206" s="68"/>
      <c r="B206" s="68"/>
    </row>
    <row customHeight="1" ht="11.25">
      <c r="A207" s="68"/>
      <c r="B207" s="68"/>
    </row>
    <row customHeight="1" ht="11.25">
      <c r="A208" s="68"/>
      <c r="B208" s="68"/>
    </row>
    <row customHeight="1" ht="11.25">
      <c r="A209" s="68"/>
      <c r="B209" s="68"/>
    </row>
    <row customHeight="1" ht="11.25">
      <c r="A210" s="68"/>
      <c r="B210" s="68"/>
    </row>
    <row customHeight="1" ht="11.25">
      <c r="A211" s="68"/>
      <c r="B211" s="68"/>
    </row>
    <row customHeight="1" ht="11.25">
      <c r="A212" s="68"/>
      <c r="B212" s="68"/>
    </row>
    <row customHeight="1" ht="11.25">
      <c r="A213" s="68"/>
      <c r="B213" s="68"/>
    </row>
    <row customHeight="1" ht="11.25">
      <c r="A214" s="68"/>
      <c r="B214" s="68"/>
    </row>
    <row customHeight="1" ht="11.25">
      <c r="A215" s="68"/>
      <c r="B215" s="68"/>
    </row>
    <row customHeight="1" ht="11.25">
      <c r="A216" s="68"/>
      <c r="B216" s="68"/>
    </row>
    <row customHeight="1" ht="11.25">
      <c r="A217" s="68"/>
      <c r="B217" s="68"/>
    </row>
    <row customHeight="1" ht="11.25">
      <c r="A218" s="68"/>
      <c r="B218" s="68"/>
    </row>
    <row customHeight="1" ht="11.25">
      <c r="A219" s="68"/>
      <c r="B219" s="68"/>
    </row>
    <row customHeight="1" ht="11.25">
      <c r="A220" s="68"/>
      <c r="B220" s="68"/>
    </row>
    <row customHeight="1" ht="11.25">
      <c r="A221" s="68"/>
      <c r="B221" s="68"/>
    </row>
    <row customHeight="1" ht="11.25">
      <c r="A222" s="68"/>
      <c r="B222" s="68"/>
    </row>
    <row customHeight="1" ht="11.25">
      <c r="A223" s="68"/>
      <c r="B223" s="68"/>
    </row>
    <row customHeight="1" ht="11.25">
      <c r="A224" s="68"/>
      <c r="B224" s="68"/>
    </row>
    <row customHeight="1" ht="11.25">
      <c r="A225" s="68"/>
      <c r="B225" s="68"/>
    </row>
    <row customHeight="1" ht="11.25">
      <c r="A226" s="68"/>
      <c r="B226" s="68"/>
    </row>
    <row customHeight="1" ht="11.25">
      <c r="A227" s="68"/>
      <c r="B227" s="68"/>
    </row>
    <row customHeight="1" ht="11.25">
      <c r="A228" s="68"/>
      <c r="B228" s="68"/>
    </row>
    <row customHeight="1" ht="11.25">
      <c r="A229" s="68"/>
      <c r="B229" s="68"/>
    </row>
    <row customHeight="1" ht="11.25">
      <c r="A230" s="68"/>
      <c r="B230" s="68"/>
    </row>
    <row customHeight="1" ht="11.25">
      <c r="A231" s="68"/>
      <c r="B231" s="68"/>
    </row>
    <row customHeight="1" ht="11.25">
      <c r="A232" s="68"/>
      <c r="B232" s="68"/>
    </row>
    <row customHeight="1" ht="11.25">
      <c r="A233" s="68"/>
      <c r="B233" s="68"/>
    </row>
    <row customHeight="1" ht="11.25">
      <c r="A234" s="68"/>
      <c r="B234" s="68"/>
    </row>
    <row customHeight="1" ht="11.25">
      <c r="A235" s="68"/>
      <c r="B235" s="68"/>
    </row>
    <row customHeight="1" ht="11.25">
      <c r="A236" s="68"/>
      <c r="B236" s="68"/>
    </row>
    <row customHeight="1" ht="11.25">
      <c r="A237" s="68"/>
      <c r="B237" s="68"/>
    </row>
    <row customHeight="1" ht="11.25">
      <c r="A238" s="68"/>
      <c r="B238" s="68"/>
    </row>
    <row customHeight="1" ht="11.25">
      <c r="A239" s="68"/>
      <c r="B239" s="68"/>
    </row>
    <row customHeight="1" ht="11.25">
      <c r="A240" s="68"/>
      <c r="B240" s="68"/>
    </row>
    <row customHeight="1" ht="11.25">
      <c r="A241" s="68"/>
      <c r="B241" s="68"/>
    </row>
    <row customHeight="1" ht="11.25">
      <c r="A242" s="68"/>
      <c r="B242" s="68"/>
    </row>
    <row customHeight="1" ht="11.25">
      <c r="A243" s="68"/>
      <c r="B243" s="68"/>
    </row>
    <row customHeight="1" ht="11.25">
      <c r="A244" s="68"/>
      <c r="B244" s="68"/>
    </row>
    <row customHeight="1" ht="11.25">
      <c r="A245" s="68"/>
      <c r="B245" s="68"/>
    </row>
    <row customHeight="1" ht="11.25">
      <c r="A246" s="68"/>
      <c r="B246" s="68"/>
    </row>
    <row customHeight="1" ht="11.25">
      <c r="A247" s="68"/>
      <c r="B247" s="68"/>
    </row>
    <row customHeight="1" ht="11.25">
      <c r="A248" s="68"/>
      <c r="B248" s="68"/>
    </row>
    <row customHeight="1" ht="11.25">
      <c r="A249" s="68"/>
      <c r="B249" s="68"/>
    </row>
    <row customHeight="1" ht="11.25">
      <c r="A250" s="68"/>
      <c r="B250" s="68"/>
    </row>
    <row customHeight="1" ht="11.25">
      <c r="A251" s="68"/>
      <c r="B251" s="68"/>
    </row>
    <row customHeight="1" ht="11.25">
      <c r="A252" s="68"/>
      <c r="B252" s="68"/>
    </row>
    <row customHeight="1" ht="11.25">
      <c r="A253" s="68"/>
      <c r="B253" s="6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AC44B2-E34B-425E-F627-6F79834F14FB}"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97" t="s">
        <v>4755</v>
      </c>
    </row>
    <row customHeight="1" ht="90">
      <c r="B2" s="98" t="s">
        <v>4756</v>
      </c>
    </row>
    <row customHeight="1" ht="67.5">
      <c r="B3" s="98" t="s">
        <v>4757</v>
      </c>
    </row>
    <row customHeight="1" ht="33.75">
      <c r="B4" s="98" t="s">
        <v>4758</v>
      </c>
    </row>
    <row customHeight="1" ht="11.25">
      <c r="B5" s="98" t="s">
        <v>4759</v>
      </c>
    </row>
    <row customHeight="1" ht="22.5">
      <c r="B6" s="98" t="s">
        <v>4760</v>
      </c>
    </row>
    <row customHeight="1" ht="22.5">
      <c r="B7" s="98" t="s">
        <v>4761</v>
      </c>
    </row>
    <row customHeight="1" ht="22.5">
      <c r="B8" s="98" t="s">
        <v>4762</v>
      </c>
    </row>
    <row customHeight="1" ht="22.5">
      <c r="B9" s="98" t="s">
        <v>4763</v>
      </c>
    </row>
    <row customHeight="1" ht="56.25">
      <c r="B10" s="98" t="s">
        <v>4764</v>
      </c>
    </row>
    <row customHeight="1" ht="12.75">
      <c r="B11" s="163" t="s">
        <v>4765</v>
      </c>
    </row>
    <row customHeight="1" ht="11.25">
      <c r="B12" s="97" t="s">
        <v>4766</v>
      </c>
    </row>
    <row customHeight="1" ht="22.5">
      <c r="B13" s="98" t="s">
        <v>4767</v>
      </c>
    </row>
    <row customHeight="1" ht="67.5">
      <c r="B14" s="98" t="s">
        <v>4768</v>
      </c>
    </row>
    <row customHeight="1" ht="22.5">
      <c r="B15" s="98" t="s">
        <v>4769</v>
      </c>
    </row>
    <row customHeight="1" ht="11.25">
      <c r="B16" s="97" t="s">
        <v>4770</v>
      </c>
      <c r="D16" s="104"/>
    </row>
    <row customHeight="1" ht="33.75">
      <c r="B17" s="98" t="s">
        <v>4771</v>
      </c>
    </row>
    <row customHeight="1" ht="33.75">
      <c r="B18" s="98" t="s">
        <v>4772</v>
      </c>
    </row>
    <row customHeight="1" ht="11.25">
      <c r="B19" s="98" t="s">
        <v>4773</v>
      </c>
    </row>
    <row customHeight="1" ht="33.75">
      <c r="B20" s="98" t="s">
        <v>4774</v>
      </c>
    </row>
    <row customHeight="1" ht="11.25">
      <c r="B21" s="97" t="s">
        <v>4775</v>
      </c>
    </row>
    <row customHeight="1" ht="11.25">
      <c r="B22" s="98" t="s">
        <v>4776</v>
      </c>
    </row>
    <row r="24" customHeight="1" ht="22.5">
      <c r="B24" s="165" t="s">
        <v>4777</v>
      </c>
    </row>
    <row r="26" customHeight="1" ht="11.25">
      <c r="B26" s="97" t="s">
        <v>4778</v>
      </c>
    </row>
    <row customHeight="1" ht="22.5">
      <c r="B27" s="164" t="s">
        <v>414</v>
      </c>
    </row>
    <row customHeight="1" ht="56.25">
      <c r="B28" s="164" t="s">
        <v>4779</v>
      </c>
    </row>
    <row customHeight="1" ht="11.25">
      <c r="B29" s="214" t="s">
        <v>4780</v>
      </c>
    </row>
    <row customHeight="1" ht="22.5">
      <c r="B30" s="164" t="s">
        <v>4781</v>
      </c>
    </row>
    <row r="32" customHeight="1" ht="11.25">
      <c r="A32" s="192"/>
      <c r="B32" s="193" t="s">
        <v>4782</v>
      </c>
    </row>
    <row customHeight="1" ht="14.25">
      <c r="A33" s="194">
        <v>1</v>
      </c>
      <c r="B33" s="195" t="s">
        <v>4783</v>
      </c>
    </row>
    <row customHeight="1" ht="14.25">
      <c r="A34" s="194">
        <v>2</v>
      </c>
      <c r="B34" s="195" t="s">
        <v>4784</v>
      </c>
    </row>
    <row customHeight="1" ht="11.25">
      <c r="B35" s="193" t="s">
        <v>4785</v>
      </c>
    </row>
    <row customHeight="1" ht="11.25">
      <c r="B36" s="195" t="s">
        <v>4786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3B6AD4-3103-E6A6-6F6A-D5A9EA128431}"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38.00390625" customWidth="1"/>
    <col min="6" max="7" style="1639" width="3.00390625" customWidth="1"/>
    <col min="8" max="8" style="1639" width="38.00390625" customWidth="1"/>
    <col min="9" max="9" style="1639" width="35.00390625" customWidth="1"/>
    <col min="10" max="10" style="1639" width="103.00390625" customWidth="1"/>
    <col min="11" max="11" style="1823" width="3.00390625" customWidth="1"/>
    <col min="12" max="14" style="1646" width="10.00390625" customWidth="1"/>
    <col min="15" max="15" style="1646" width="13.00390625" customWidth="1"/>
    <col min="16" max="16" style="1646" width="15.00390625" customWidth="1"/>
    <col min="17" max="17" style="1646" width="16.00390625" customWidth="1"/>
    <col min="18" max="21" style="1646" width="10.00390625" customWidth="1"/>
    <col min="22" max="22" style="1639" width="10.57421875" hidden="1"/>
  </cols>
  <sheetData>
    <row customHeight="1" ht="22.5" hidden="1">
      <c r="E1" s="416"/>
      <c r="F1" s="416"/>
      <c r="G1" s="416"/>
      <c r="H1" s="2221" t="s">
        <v>370</v>
      </c>
      <c r="I1" s="2221"/>
      <c r="V1" s="1611" t="s">
        <v>14</v>
      </c>
    </row>
    <row s="1639" customFormat="1" customHeight="1" ht="14.25" hidden="1">
      <c r="C2" s="1623"/>
      <c r="D2" s="2237" t="s">
        <v>119</v>
      </c>
      <c r="E2" s="2239"/>
      <c r="F2" s="1629"/>
      <c r="G2" s="1624" t="s">
        <v>119</v>
      </c>
      <c r="H2" s="1627"/>
      <c r="I2" s="1625"/>
      <c r="L2" s="1626"/>
      <c r="M2" s="1626"/>
      <c r="N2" s="1626"/>
      <c r="O2" s="1626" t="s">
        <v>400</v>
      </c>
      <c r="P2" s="1626"/>
      <c r="Q2" s="1626"/>
      <c r="R2" s="1628" t="s">
        <v>399</v>
      </c>
      <c r="S2" s="1628" t="s">
        <v>399</v>
      </c>
      <c r="T2" s="1626"/>
      <c r="U2" s="1626"/>
      <c r="V2" s="1622">
        <v>0</v>
      </c>
    </row>
    <row s="1639" customFormat="1" customHeight="1" ht="14.25" hidden="1">
      <c r="C3" s="1623"/>
      <c r="D3" s="2238"/>
      <c r="E3" s="2240"/>
      <c r="F3" s="409"/>
      <c r="G3" s="873"/>
      <c r="H3" s="873" t="s">
        <v>401</v>
      </c>
      <c r="I3" s="317"/>
      <c r="L3" s="1626"/>
      <c r="M3" s="1626"/>
      <c r="N3" s="1626"/>
      <c r="O3" s="1626"/>
      <c r="P3" s="1626"/>
      <c r="Q3" s="1626"/>
      <c r="R3" s="1628"/>
      <c r="S3" s="1628"/>
      <c r="T3" s="1626"/>
      <c r="U3" s="1626"/>
      <c r="V3" s="1622">
        <v>0</v>
      </c>
    </row>
    <row customHeight="1" ht="14.25" hidden="1">
      <c r="V4" s="1611">
        <v>0</v>
      </c>
    </row>
    <row s="1617" customFormat="1" customHeight="1" ht="5.25">
      <c r="C5" s="705"/>
      <c r="D5" s="706"/>
      <c r="E5" s="706"/>
      <c r="F5" s="706"/>
      <c r="G5" s="706"/>
      <c r="H5" s="706" t="s">
        <v>374</v>
      </c>
      <c r="I5" s="706"/>
      <c r="J5" s="706"/>
      <c r="L5" s="1618"/>
      <c r="M5" s="1618"/>
      <c r="N5" s="1618"/>
      <c r="O5" s="1618"/>
      <c r="P5" s="1618"/>
      <c r="Q5" s="1618"/>
      <c r="R5" s="1618"/>
      <c r="S5" s="1618"/>
      <c r="T5" s="1618"/>
      <c r="U5" s="1618"/>
      <c r="V5" s="1617">
        <v>5</v>
      </c>
    </row>
    <row customHeight="1" ht="29.25">
      <c r="C6" s="1520"/>
      <c r="D6" s="2241" t="s">
        <v>402</v>
      </c>
      <c r="E6" s="2241"/>
      <c r="F6" s="2241"/>
      <c r="G6" s="2241"/>
      <c r="H6" s="2241"/>
      <c r="I6" s="2241"/>
      <c r="J6" s="495"/>
      <c r="K6" s="1619"/>
      <c r="V6" s="1611">
        <v>28</v>
      </c>
    </row>
    <row customHeight="1" ht="18">
      <c r="C7" s="1520"/>
      <c r="D7" s="2180" t="str">
        <f>IF(org=0,"Не определено",org)</f>
        <v>АО "Теплоэнерго"</v>
      </c>
      <c r="E7" s="2180"/>
      <c r="F7" s="2180"/>
      <c r="G7" s="2180"/>
      <c r="H7" s="2180"/>
      <c r="I7" s="2180"/>
      <c r="J7" s="495"/>
      <c r="K7" s="1619"/>
      <c r="V7" s="1611">
        <v>17</v>
      </c>
    </row>
    <row s="1616" customFormat="1" customHeight="1" ht="5.25">
      <c r="A8" s="1615"/>
      <c r="C8" s="490"/>
      <c r="D8" s="489"/>
      <c r="E8" s="489"/>
      <c r="F8" s="489"/>
      <c r="G8" s="489"/>
      <c r="H8" s="489"/>
      <c r="I8" s="489"/>
      <c r="J8" s="489"/>
      <c r="L8" s="1618"/>
      <c r="M8" s="1618"/>
      <c r="N8" s="1618"/>
      <c r="O8" s="1618"/>
      <c r="P8" s="1618"/>
      <c r="Q8" s="1618"/>
      <c r="R8" s="1618"/>
      <c r="S8" s="1618"/>
      <c r="T8" s="1618"/>
      <c r="U8" s="1618"/>
      <c r="V8" s="1616">
        <v>5</v>
      </c>
    </row>
    <row s="1616" customFormat="1" customHeight="1" ht="5.25">
      <c r="A9" s="1615"/>
      <c r="C9" s="490"/>
      <c r="D9" s="489"/>
      <c r="E9" s="489"/>
      <c r="F9" s="489"/>
      <c r="G9" s="489"/>
      <c r="H9" s="489"/>
      <c r="I9" s="489"/>
      <c r="J9" s="489"/>
      <c r="L9" s="1626"/>
      <c r="M9" s="1626"/>
      <c r="N9" s="1626"/>
      <c r="O9" s="1626"/>
      <c r="P9" s="1626"/>
      <c r="Q9" s="1626"/>
      <c r="R9" s="1626"/>
      <c r="S9" s="1626"/>
      <c r="T9" s="1626"/>
      <c r="U9" s="1626"/>
      <c r="V9" s="1616">
        <v>5</v>
      </c>
    </row>
    <row customHeight="1" ht="14.699999999999998">
      <c r="C10" s="1520"/>
      <c r="D10" s="2222" t="s">
        <v>318</v>
      </c>
      <c r="E10" s="2223"/>
      <c r="F10" s="2223"/>
      <c r="G10" s="2223"/>
      <c r="H10" s="2223"/>
      <c r="I10" s="2223"/>
      <c r="J10" s="2227" t="s">
        <v>319</v>
      </c>
      <c r="V10" s="1611">
        <v>14</v>
      </c>
    </row>
    <row customHeight="1" ht="27.299999999999997">
      <c r="C11" s="1520"/>
      <c r="D11" s="2131" t="s">
        <v>88</v>
      </c>
      <c r="E11" s="2227" t="s">
        <v>115</v>
      </c>
      <c r="F11" s="2196" t="s">
        <v>88</v>
      </c>
      <c r="G11" s="2197"/>
      <c r="H11" s="2179" t="s">
        <v>403</v>
      </c>
      <c r="I11" s="2179" t="s">
        <v>404</v>
      </c>
      <c r="J11" s="2227"/>
      <c r="V11" s="1611">
        <v>26</v>
      </c>
    </row>
    <row customHeight="1" ht="14.699999999999998">
      <c r="C12" s="1520"/>
      <c r="D12" s="2131"/>
      <c r="E12" s="2227"/>
      <c r="F12" s="2204"/>
      <c r="G12" s="2205"/>
      <c r="H12" s="2236"/>
      <c r="I12" s="2236"/>
      <c r="J12" s="2227"/>
      <c r="V12" s="1611">
        <v>14</v>
      </c>
    </row>
    <row s="1645" customFormat="1" customHeight="1" ht="11.25" hidden="1">
      <c r="C13" s="502"/>
      <c r="D13" s="503" t="s">
        <v>394</v>
      </c>
      <c r="E13" s="503"/>
      <c r="F13" s="503"/>
      <c r="G13" s="503"/>
      <c r="H13" s="501"/>
      <c r="I13" s="501"/>
      <c r="J13" s="439"/>
      <c r="L13" s="1618"/>
      <c r="M13" s="1618"/>
      <c r="N13" s="1618"/>
      <c r="O13" s="1618"/>
      <c r="P13" s="1618"/>
      <c r="Q13" s="1618"/>
      <c r="R13" s="1618"/>
      <c r="S13" s="1618"/>
      <c r="T13" s="1618"/>
      <c r="U13" s="1618"/>
      <c r="V13" s="500">
        <v>0</v>
      </c>
    </row>
    <row customHeight="1" ht="14.699999999999998">
      <c r="A14" s="1611"/>
      <c r="C14" s="1520"/>
      <c r="D14" s="2237" t="s">
        <v>119</v>
      </c>
      <c r="E14" s="2239"/>
      <c r="F14" s="1621"/>
      <c r="G14" s="1620" t="s">
        <v>119</v>
      </c>
      <c r="H14" s="1627"/>
      <c r="I14" s="1625"/>
      <c r="J14" s="2173" t="s">
        <v>405</v>
      </c>
      <c r="K14" s="1611"/>
      <c r="R14" s="504" t="s">
        <v>399</v>
      </c>
      <c r="S14" s="504" t="s">
        <v>399</v>
      </c>
      <c r="V14" s="1611">
        <v>14</v>
      </c>
    </row>
    <row customHeight="1" ht="14.699999999999998">
      <c r="A15" s="1611"/>
      <c r="C15" s="1520"/>
      <c r="D15" s="2238"/>
      <c r="E15" s="2240"/>
      <c r="F15" s="409"/>
      <c r="G15" s="873"/>
      <c r="H15" s="873" t="s">
        <v>401</v>
      </c>
      <c r="I15" s="317"/>
      <c r="J15" s="2174"/>
      <c r="K15" s="1611"/>
      <c r="R15" s="504"/>
      <c r="S15" s="504"/>
      <c r="V15" s="1611">
        <v>14</v>
      </c>
    </row>
    <row customHeight="1" ht="14.699999999999998">
      <c r="A16" s="1611"/>
      <c r="C16" s="1520"/>
      <c r="D16" s="409"/>
      <c r="E16" s="873" t="s">
        <v>141</v>
      </c>
      <c r="F16" s="317"/>
      <c r="G16" s="317"/>
      <c r="H16" s="410"/>
      <c r="I16" s="410"/>
      <c r="J16" s="2175"/>
      <c r="K16" s="1611"/>
      <c r="V16" s="1611">
        <v>14</v>
      </c>
    </row>
    <row customHeight="1" ht="14.699999999999998">
      <c r="K17" s="1611"/>
      <c r="V17" s="1611">
        <v>14</v>
      </c>
    </row>
    <row customHeight="1" ht="22.5" hidden="1">
      <c r="A18" s="1612" t="s">
        <v>82</v>
      </c>
      <c r="B18" s="1611">
        <v>0</v>
      </c>
      <c r="C18" s="455">
        <v>3</v>
      </c>
      <c r="D18" s="1611">
        <v>5</v>
      </c>
      <c r="E18" s="1611">
        <v>38</v>
      </c>
      <c r="F18" s="1611">
        <v>3</v>
      </c>
      <c r="G18" s="1611">
        <v>3</v>
      </c>
      <c r="H18" s="1611">
        <v>38</v>
      </c>
      <c r="I18" s="1611">
        <v>35</v>
      </c>
      <c r="J18" s="1611">
        <v>103</v>
      </c>
      <c r="K18" s="1613">
        <v>3</v>
      </c>
      <c r="L18" s="1618">
        <v>10</v>
      </c>
      <c r="M18" s="1618">
        <v>10</v>
      </c>
      <c r="N18" s="1618">
        <v>10</v>
      </c>
      <c r="O18" s="1618">
        <v>13</v>
      </c>
      <c r="P18" s="1618">
        <v>15</v>
      </c>
      <c r="Q18" s="1618">
        <v>16</v>
      </c>
      <c r="R18" s="1618">
        <v>10</v>
      </c>
      <c r="S18" s="1618">
        <v>10</v>
      </c>
      <c r="T18" s="1618">
        <v>10</v>
      </c>
      <c r="U18" s="1618">
        <v>10</v>
      </c>
      <c r="V18" s="161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2024-04-01T13:16:25Z</dcterms:modified>
</cp:coreProperties>
</file>

<file path=docProps/custom.xml><?xml version="1.0" encoding="utf-8"?>
<Properties xmlns="http://schemas.openxmlformats.org/officeDocument/2006/custom-properties" xmlns:vt="http://schemas.openxmlformats.org/officeDocument/2006/docPropsVTypes"/>
</file>